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itacora de Calculo 2026-2028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6" i="1" l="1"/>
  <c r="R43" i="1"/>
  <c r="P43" i="1"/>
  <c r="T43" i="1" s="1"/>
  <c r="U42" i="1"/>
  <c r="R42" i="1"/>
  <c r="P42" i="1"/>
  <c r="T42" i="1" s="1"/>
  <c r="I42" i="1"/>
  <c r="H42" i="1"/>
  <c r="G42" i="1"/>
  <c r="F42" i="1"/>
  <c r="E42" i="1"/>
  <c r="D42" i="1"/>
  <c r="N41" i="1"/>
  <c r="M41" i="1"/>
  <c r="L41" i="1"/>
  <c r="K41" i="1"/>
  <c r="R40" i="1"/>
  <c r="P40" i="1"/>
  <c r="U40" i="1" s="1"/>
  <c r="N39" i="1"/>
  <c r="M39" i="1"/>
  <c r="L39" i="1"/>
  <c r="K39" i="1"/>
  <c r="I39" i="1"/>
  <c r="O39" i="1" s="1"/>
  <c r="R39" i="1" s="1"/>
  <c r="U38" i="1"/>
  <c r="R38" i="1"/>
  <c r="P38" i="1"/>
  <c r="T38" i="1" s="1"/>
  <c r="R37" i="1"/>
  <c r="M37" i="1"/>
  <c r="L37" i="1"/>
  <c r="K37" i="1"/>
  <c r="P37" i="1" s="1"/>
  <c r="I37" i="1"/>
  <c r="O36" i="1"/>
  <c r="M36" i="1"/>
  <c r="L36" i="1"/>
  <c r="K36" i="1"/>
  <c r="R36" i="1" s="1"/>
  <c r="M35" i="1"/>
  <c r="L35" i="1"/>
  <c r="K35" i="1"/>
  <c r="I35" i="1"/>
  <c r="M34" i="1"/>
  <c r="L34" i="1"/>
  <c r="K34" i="1"/>
  <c r="I34" i="1"/>
  <c r="H33" i="1"/>
  <c r="G33" i="1"/>
  <c r="F33" i="1"/>
  <c r="F32" i="1" s="1"/>
  <c r="L32" i="1" s="1"/>
  <c r="E33" i="1"/>
  <c r="E32" i="1" s="1"/>
  <c r="D33" i="1"/>
  <c r="H32" i="1"/>
  <c r="G32" i="1"/>
  <c r="D32" i="1"/>
  <c r="I31" i="1"/>
  <c r="I30" i="1" s="1"/>
  <c r="H31" i="1"/>
  <c r="H30" i="1" s="1"/>
  <c r="G31" i="1"/>
  <c r="G30" i="1" s="1"/>
  <c r="F31" i="1"/>
  <c r="F30" i="1" s="1"/>
  <c r="E31" i="1"/>
  <c r="D31" i="1"/>
  <c r="D30" i="1" s="1"/>
  <c r="X24" i="1"/>
  <c r="Y24" i="1" s="1"/>
  <c r="W24" i="1"/>
  <c r="H24" i="1"/>
  <c r="N24" i="1" s="1"/>
  <c r="R24" i="1" s="1"/>
  <c r="X23" i="1"/>
  <c r="Y23" i="1" s="1"/>
  <c r="W23" i="1"/>
  <c r="R23" i="1"/>
  <c r="P23" i="1"/>
  <c r="U23" i="1" s="1"/>
  <c r="W22" i="1"/>
  <c r="X22" i="1" s="1"/>
  <c r="Y22" i="1" s="1"/>
  <c r="R22" i="1"/>
  <c r="P22" i="1"/>
  <c r="W21" i="1"/>
  <c r="R21" i="1"/>
  <c r="P21" i="1"/>
  <c r="N20" i="1"/>
  <c r="I20" i="1"/>
  <c r="H20" i="1"/>
  <c r="G20" i="1"/>
  <c r="F20" i="1"/>
  <c r="E20" i="1"/>
  <c r="D20" i="1"/>
  <c r="W19" i="1"/>
  <c r="X19" i="1" s="1"/>
  <c r="Y19" i="1" s="1"/>
  <c r="R19" i="1"/>
  <c r="P19" i="1"/>
  <c r="X18" i="1"/>
  <c r="Y18" i="1" s="1"/>
  <c r="W18" i="1"/>
  <c r="O18" i="1"/>
  <c r="N18" i="1"/>
  <c r="M18" i="1"/>
  <c r="L18" i="1"/>
  <c r="R18" i="1" s="1"/>
  <c r="K18" i="1"/>
  <c r="N17" i="1"/>
  <c r="M17" i="1"/>
  <c r="L17" i="1"/>
  <c r="I17" i="1"/>
  <c r="N16" i="1"/>
  <c r="M16" i="1"/>
  <c r="L16" i="1"/>
  <c r="K16" i="1"/>
  <c r="I16" i="1"/>
  <c r="W16" i="1" s="1"/>
  <c r="X16" i="1" s="1"/>
  <c r="Y16" i="1" s="1"/>
  <c r="N15" i="1"/>
  <c r="L15" i="1"/>
  <c r="K15" i="1"/>
  <c r="I15" i="1"/>
  <c r="O15" i="1" s="1"/>
  <c r="P15" i="1" s="1"/>
  <c r="H14" i="1"/>
  <c r="N14" i="1" s="1"/>
  <c r="G14" i="1"/>
  <c r="F14" i="1"/>
  <c r="E14" i="1"/>
  <c r="L14" i="1" s="1"/>
  <c r="D14" i="1"/>
  <c r="K14" i="1" s="1"/>
  <c r="W13" i="1"/>
  <c r="X13" i="1" s="1"/>
  <c r="Y13" i="1" s="1"/>
  <c r="R13" i="1"/>
  <c r="U13" i="1" s="1"/>
  <c r="P13" i="1"/>
  <c r="W12" i="1"/>
  <c r="W11" i="1" s="1"/>
  <c r="R12" i="1"/>
  <c r="P12" i="1"/>
  <c r="R11" i="1"/>
  <c r="P11" i="1"/>
  <c r="I11" i="1"/>
  <c r="H11" i="1"/>
  <c r="G11" i="1"/>
  <c r="F11" i="1"/>
  <c r="E11" i="1"/>
  <c r="D11" i="1"/>
  <c r="N10" i="1"/>
  <c r="L10" i="1"/>
  <c r="K10" i="1"/>
  <c r="I10" i="1"/>
  <c r="O10" i="1" s="1"/>
  <c r="P10" i="1" s="1"/>
  <c r="L9" i="1"/>
  <c r="H9" i="1"/>
  <c r="G9" i="1"/>
  <c r="F9" i="1"/>
  <c r="E9" i="1"/>
  <c r="D9" i="1"/>
  <c r="K9" i="1" s="1"/>
  <c r="E8" i="1"/>
  <c r="Z3" i="1"/>
  <c r="U43" i="1" l="1"/>
  <c r="T40" i="1"/>
  <c r="K32" i="1"/>
  <c r="M33" i="1"/>
  <c r="T23" i="1"/>
  <c r="O20" i="1"/>
  <c r="T13" i="1"/>
  <c r="H8" i="1"/>
  <c r="N8" i="1" s="1"/>
  <c r="R15" i="1"/>
  <c r="I14" i="1"/>
  <c r="O14" i="1" s="1"/>
  <c r="R14" i="1" s="1"/>
  <c r="K31" i="1"/>
  <c r="M31" i="1"/>
  <c r="I9" i="1"/>
  <c r="R10" i="1"/>
  <c r="O16" i="1"/>
  <c r="P16" i="1" s="1"/>
  <c r="P39" i="1"/>
  <c r="U39" i="1" s="1"/>
  <c r="W10" i="1"/>
  <c r="W15" i="1"/>
  <c r="X15" i="1" s="1"/>
  <c r="R16" i="1"/>
  <c r="E30" i="1"/>
  <c r="E29" i="1" s="1"/>
  <c r="F29" i="1"/>
  <c r="U10" i="1"/>
  <c r="T10" i="1"/>
  <c r="U15" i="1"/>
  <c r="T15" i="1"/>
  <c r="K8" i="1"/>
  <c r="O17" i="1"/>
  <c r="P17" i="1" s="1"/>
  <c r="P18" i="1"/>
  <c r="U19" i="1"/>
  <c r="T19" i="1"/>
  <c r="I33" i="1"/>
  <c r="O34" i="1"/>
  <c r="R34" i="1" s="1"/>
  <c r="G8" i="1"/>
  <c r="N9" i="1"/>
  <c r="X12" i="1"/>
  <c r="Y15" i="1"/>
  <c r="U21" i="1"/>
  <c r="T21" i="1"/>
  <c r="H29" i="1"/>
  <c r="N30" i="1"/>
  <c r="O35" i="1"/>
  <c r="P35" i="1" s="1"/>
  <c r="U12" i="1"/>
  <c r="T12" i="1"/>
  <c r="W17" i="1"/>
  <c r="P20" i="1"/>
  <c r="R20" i="1"/>
  <c r="O30" i="1"/>
  <c r="D8" i="1"/>
  <c r="T11" i="1"/>
  <c r="U11" i="1"/>
  <c r="X21" i="1"/>
  <c r="W20" i="1"/>
  <c r="P24" i="1"/>
  <c r="D29" i="1"/>
  <c r="M32" i="1"/>
  <c r="R35" i="1"/>
  <c r="U37" i="1"/>
  <c r="T37" i="1"/>
  <c r="O9" i="1"/>
  <c r="R9" i="1" s="1"/>
  <c r="U22" i="1"/>
  <c r="T22" i="1"/>
  <c r="M30" i="1"/>
  <c r="G29" i="1"/>
  <c r="N31" i="1"/>
  <c r="P36" i="1"/>
  <c r="F8" i="1"/>
  <c r="L8" i="1" s="1"/>
  <c r="L33" i="1"/>
  <c r="K33" i="1"/>
  <c r="R41" i="1"/>
  <c r="X46" i="1"/>
  <c r="Y46" i="1" s="1"/>
  <c r="P41" i="1"/>
  <c r="O31" i="1"/>
  <c r="P14" i="1" l="1"/>
  <c r="I8" i="1"/>
  <c r="O8" i="1" s="1"/>
  <c r="K29" i="1"/>
  <c r="T39" i="1"/>
  <c r="M29" i="1"/>
  <c r="K30" i="1"/>
  <c r="P30" i="1" s="1"/>
  <c r="L29" i="1"/>
  <c r="P31" i="1"/>
  <c r="R31" i="1"/>
  <c r="U31" i="1" s="1"/>
  <c r="P34" i="1"/>
  <c r="T34" i="1" s="1"/>
  <c r="W9" i="1"/>
  <c r="X10" i="1"/>
  <c r="P9" i="1"/>
  <c r="U9" i="1" s="1"/>
  <c r="T35" i="1"/>
  <c r="U35" i="1"/>
  <c r="T31" i="1"/>
  <c r="T41" i="1"/>
  <c r="U41" i="1"/>
  <c r="U36" i="1"/>
  <c r="T36" i="1"/>
  <c r="R30" i="1"/>
  <c r="Y12" i="1"/>
  <c r="Y11" i="1" s="1"/>
  <c r="X11" i="1"/>
  <c r="X20" i="1"/>
  <c r="Y21" i="1"/>
  <c r="Y20" i="1" s="1"/>
  <c r="T16" i="1"/>
  <c r="U16" i="1"/>
  <c r="AA46" i="1"/>
  <c r="T20" i="1"/>
  <c r="U20" i="1"/>
  <c r="R17" i="1"/>
  <c r="T17" i="1" s="1"/>
  <c r="U24" i="1"/>
  <c r="T24" i="1"/>
  <c r="X17" i="1"/>
  <c r="W14" i="1"/>
  <c r="W8" i="1" s="1"/>
  <c r="I32" i="1"/>
  <c r="O33" i="1"/>
  <c r="R33" i="1" s="1"/>
  <c r="T18" i="1"/>
  <c r="U18" i="1"/>
  <c r="U14" i="1"/>
  <c r="T14" i="1"/>
  <c r="P8" i="1" l="1"/>
  <c r="R8" i="1"/>
  <c r="U8" i="1" s="1"/>
  <c r="U34" i="1"/>
  <c r="T9" i="1"/>
  <c r="X9" i="1"/>
  <c r="Y10" i="1"/>
  <c r="Y9" i="1" s="1"/>
  <c r="O32" i="1"/>
  <c r="I29" i="1"/>
  <c r="O29" i="1" s="1"/>
  <c r="U30" i="1"/>
  <c r="T30" i="1"/>
  <c r="Y17" i="1"/>
  <c r="Y14" i="1" s="1"/>
  <c r="X14" i="1"/>
  <c r="T8" i="1"/>
  <c r="P33" i="1"/>
  <c r="U17" i="1"/>
  <c r="X8" i="1" l="1"/>
  <c r="Y8" i="1"/>
  <c r="T33" i="1"/>
  <c r="U33" i="1"/>
  <c r="R29" i="1"/>
  <c r="P29" i="1"/>
  <c r="R32" i="1"/>
  <c r="P32" i="1"/>
  <c r="U32" i="1" l="1"/>
  <c r="T32" i="1"/>
  <c r="T29" i="1"/>
  <c r="Z2" i="1"/>
  <c r="U29" i="1"/>
  <c r="W39" i="1" l="1"/>
  <c r="X39" i="1" s="1"/>
  <c r="Y39" i="1" s="1"/>
  <c r="W40" i="1"/>
  <c r="X40" i="1" s="1"/>
  <c r="Y40" i="1" s="1"/>
  <c r="W38" i="1"/>
  <c r="X38" i="1" s="1"/>
  <c r="Y38" i="1" s="1"/>
  <c r="W43" i="1"/>
  <c r="W41" i="1"/>
  <c r="X41" i="1" s="1"/>
  <c r="Y41" i="1" s="1"/>
  <c r="W36" i="1"/>
  <c r="X36" i="1" s="1"/>
  <c r="Y36" i="1" s="1"/>
  <c r="W31" i="1"/>
  <c r="W37" i="1"/>
  <c r="X37" i="1" s="1"/>
  <c r="Y37" i="1" s="1"/>
  <c r="W35" i="1"/>
  <c r="X35" i="1" s="1"/>
  <c r="Y35" i="1" s="1"/>
  <c r="W34" i="1"/>
  <c r="X43" i="1" l="1"/>
  <c r="Y43" i="1" s="1"/>
  <c r="W42" i="1"/>
  <c r="X42" i="1" s="1"/>
  <c r="Y42" i="1" s="1"/>
  <c r="X34" i="1"/>
  <c r="W33" i="1"/>
  <c r="W32" i="1" s="1"/>
  <c r="W30" i="1"/>
  <c r="X31" i="1"/>
  <c r="X30" i="1" l="1"/>
  <c r="Y31" i="1"/>
  <c r="Y30" i="1" s="1"/>
  <c r="Y34" i="1"/>
  <c r="Y33" i="1" s="1"/>
  <c r="Y32" i="1" s="1"/>
  <c r="X33" i="1"/>
  <c r="X32" i="1" s="1"/>
  <c r="W29" i="1"/>
  <c r="W45" i="1" s="1"/>
  <c r="Y29" i="1" l="1"/>
  <c r="Y45" i="1" s="1"/>
  <c r="Y47" i="1" s="1"/>
  <c r="W47" i="1"/>
  <c r="X29" i="1"/>
  <c r="X45" i="1" s="1"/>
  <c r="X47" i="1" s="1"/>
  <c r="W50" i="1" l="1"/>
  <c r="W51" i="1" s="1"/>
  <c r="W48" i="1"/>
  <c r="AA45" i="1"/>
  <c r="AA47" i="1" s="1"/>
  <c r="X50" i="1"/>
  <c r="X51" i="1" s="1"/>
  <c r="X48" i="1"/>
  <c r="Y50" i="1"/>
  <c r="Y51" i="1" s="1"/>
  <c r="Y48" i="1"/>
  <c r="AA50" i="1" l="1"/>
  <c r="AA51" i="1" s="1"/>
  <c r="AA48" i="1"/>
</calcChain>
</file>

<file path=xl/comments1.xml><?xml version="1.0" encoding="utf-8"?>
<comments xmlns="http://schemas.openxmlformats.org/spreadsheetml/2006/main">
  <authors>
    <author>Autor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gastos en remuneraciones y beneficios legales del personal municipal encargado directa o indirectamente de la administración del servicio y su fiscalización- articulo 9 decreto 69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Si se opera con equipo y personal municipal</t>
        </r>
      </text>
    </comment>
    <comment ref="C4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Si se opera con equipo y personal municipal</t>
        </r>
      </text>
    </comment>
  </commentList>
</comments>
</file>

<file path=xl/sharedStrings.xml><?xml version="1.0" encoding="utf-8"?>
<sst xmlns="http://schemas.openxmlformats.org/spreadsheetml/2006/main" count="94" uniqueCount="77">
  <si>
    <t>FACTOR INCREMENTO CF</t>
  </si>
  <si>
    <t>UTM JUNIO 2024</t>
  </si>
  <si>
    <t>FACTOR INCREMENTO CV</t>
  </si>
  <si>
    <t>FACTOR INCREMENTO DEMOGRAFICO</t>
  </si>
  <si>
    <t>SERIES DE DATOS HISTORICAS</t>
  </si>
  <si>
    <t>TASAS DE CRECIMIENTO ANUAL</t>
  </si>
  <si>
    <t>PROYECCION A 3 AÑOS</t>
  </si>
  <si>
    <t>DETALLE</t>
  </si>
  <si>
    <t>2019-2020</t>
  </si>
  <si>
    <t>2020-2021</t>
  </si>
  <si>
    <t>2021-2022</t>
  </si>
  <si>
    <t>2022-2023</t>
  </si>
  <si>
    <t>2023-2024</t>
  </si>
  <si>
    <t>2024-2025</t>
  </si>
  <si>
    <t>2/1</t>
  </si>
  <si>
    <t>3/2</t>
  </si>
  <si>
    <t>4/3</t>
  </si>
  <si>
    <t>5/4</t>
  </si>
  <si>
    <t>6/5</t>
  </si>
  <si>
    <t>DESVIACION ESTANDAR</t>
  </si>
  <si>
    <t>LIMITE SUPERIOR</t>
  </si>
  <si>
    <t>LIMITE INFERIOR</t>
  </si>
  <si>
    <t>COSTOS FIJOS ANUALES</t>
  </si>
  <si>
    <t>1.1</t>
  </si>
  <si>
    <t>REMUNERACIONES</t>
  </si>
  <si>
    <t>1.2</t>
  </si>
  <si>
    <t>GASTOS GENERALES DE ADMINISTRACION</t>
  </si>
  <si>
    <t>1.3</t>
  </si>
  <si>
    <t>GASTOS EN VEHICULOS ADMINISTRACION Y FISCALIZACION</t>
  </si>
  <si>
    <t>Combustibles</t>
  </si>
  <si>
    <t>seguros</t>
  </si>
  <si>
    <t>1.4</t>
  </si>
  <si>
    <t>GASTOS DE INMUEBLES EN LA ADMINSITRACION DEL SERVICIO</t>
  </si>
  <si>
    <t>Seguros</t>
  </si>
  <si>
    <t>arriendos</t>
  </si>
  <si>
    <t>COSTOS VARIABLES ANUALES</t>
  </si>
  <si>
    <t>2.1</t>
  </si>
  <si>
    <t>LICITACIONES Y CONCESIONES MUNCIPALES SERVICIO DE RECOLECCION</t>
  </si>
  <si>
    <t>Licitaciones y contratos</t>
  </si>
  <si>
    <t>2.2</t>
  </si>
  <si>
    <t>OPERACIÓN  MUNICIPAL</t>
  </si>
  <si>
    <t>2.2.1</t>
  </si>
  <si>
    <t>Combustible</t>
  </si>
  <si>
    <t>Mantenciones</t>
  </si>
  <si>
    <t>Depreciaciones camiones</t>
  </si>
  <si>
    <t>2.2.2</t>
  </si>
  <si>
    <t>Gastos de remuneraciones personal operativo</t>
  </si>
  <si>
    <t>2.2.3</t>
  </si>
  <si>
    <t>Gastos de equipamiento de personal</t>
  </si>
  <si>
    <t>2.2.4</t>
  </si>
  <si>
    <t>2.3</t>
  </si>
  <si>
    <t>OPERACIÓN LICITADA PARCIALMENTE</t>
  </si>
  <si>
    <t>2.3.1</t>
  </si>
  <si>
    <t>TOTALES</t>
  </si>
  <si>
    <t>ROLES BRNA 2025.-</t>
  </si>
  <si>
    <t>DERECHO ASEO</t>
  </si>
  <si>
    <t>DERECHO ASEO EN UTM</t>
  </si>
  <si>
    <t>CUOTAS</t>
  </si>
  <si>
    <t>VALOR CUOTA</t>
  </si>
  <si>
    <t>VALOR EN UTM</t>
  </si>
  <si>
    <r>
      <rPr>
        <b/>
        <sz val="11"/>
        <color theme="1"/>
        <rFont val="Calibri"/>
        <family val="2"/>
      </rPr>
      <t>ẋ</t>
    </r>
    <r>
      <rPr>
        <b/>
        <sz val="11"/>
        <color theme="1"/>
        <rFont val="Times New Roman"/>
        <family val="1"/>
      </rPr>
      <t xml:space="preserve"> Tasa de crecimiento</t>
    </r>
  </si>
  <si>
    <t>REPUBLICA DE CHILE</t>
  </si>
  <si>
    <t>MUNICIPALIDAD DE VILCUN</t>
  </si>
  <si>
    <t>CALCULO DERECHOS ASEO PERIODO 2026-2028</t>
  </si>
  <si>
    <t>Remuneraciones Personal Municipal - Administración y Fiscalización</t>
  </si>
  <si>
    <t>Gasto en facturación y cobranza</t>
  </si>
  <si>
    <t>Gastos administración en insumos de oficina y servicios básicos, entre otros</t>
  </si>
  <si>
    <t>Patentes-p circulación</t>
  </si>
  <si>
    <t>Mantención</t>
  </si>
  <si>
    <t>Depreciación</t>
  </si>
  <si>
    <t>Contribuciones</t>
  </si>
  <si>
    <t>Mantención Gastos Comunes</t>
  </si>
  <si>
    <t>Gastos de operación y mantención de vehículos</t>
  </si>
  <si>
    <t>Permiso de circulación</t>
  </si>
  <si>
    <t>Gastos de mantención y operación de vertedero</t>
  </si>
  <si>
    <t>Licitación operación parcial</t>
  </si>
  <si>
    <t>NOTA: El periodo anualizado comprende los periodos de julio a junio de cada año; ejemplo: 1 año corresponde a los datos entre julio de 2024.- y junio de 2025.-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</si>
</sst>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"/>
    <numFmt numFmtId="165" formatCode="0.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</font>
    <font>
      <b/>
      <sz val="11"/>
      <color rgb="FF0000FF"/>
      <name val="Times New Roman"/>
      <family val="1"/>
    </font>
    <font>
      <sz val="11"/>
      <color rgb="FF0000FF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rgb="FF0000FF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0" fontId="3" fillId="0" borderId="0" xfId="0" applyFont="1" applyFill="1" applyAlignment="1" applyProtection="1">
      <alignment horizontal="center"/>
      <protection hidden="1"/>
    </xf>
    <xf numFmtId="2" fontId="4" fillId="2" borderId="1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right"/>
      <protection hidden="1"/>
    </xf>
    <xf numFmtId="164" fontId="1" fillId="0" borderId="0" xfId="0" applyNumberFormat="1" applyFont="1" applyFill="1" applyProtection="1">
      <protection hidden="1"/>
    </xf>
    <xf numFmtId="2" fontId="1" fillId="2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center" vertical="center" wrapText="1"/>
      <protection hidden="1"/>
    </xf>
    <xf numFmtId="49" fontId="1" fillId="3" borderId="6" xfId="0" applyNumberFormat="1" applyFont="1" applyFill="1" applyBorder="1" applyAlignment="1" applyProtection="1">
      <alignment horizontal="center" vertical="center" wrapText="1"/>
      <protection hidden="1"/>
    </xf>
    <xf numFmtId="49" fontId="1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 applyAlignment="1" applyProtection="1">
      <alignment horizontal="right"/>
      <protection hidden="1"/>
    </xf>
    <xf numFmtId="49" fontId="1" fillId="0" borderId="12" xfId="0" applyNumberFormat="1" applyFont="1" applyFill="1" applyBorder="1" applyProtection="1">
      <protection hidden="1"/>
    </xf>
    <xf numFmtId="164" fontId="1" fillId="3" borderId="1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horizontal="center"/>
      <protection hidden="1"/>
    </xf>
    <xf numFmtId="2" fontId="1" fillId="0" borderId="13" xfId="0" applyNumberFormat="1" applyFont="1" applyFill="1" applyBorder="1" applyAlignment="1" applyProtection="1">
      <alignment horizontal="center"/>
      <protection hidden="1"/>
    </xf>
    <xf numFmtId="2" fontId="1" fillId="0" borderId="1" xfId="0" applyNumberFormat="1" applyFont="1" applyFill="1" applyBorder="1" applyAlignment="1" applyProtection="1">
      <alignment horizontal="center"/>
      <protection hidden="1"/>
    </xf>
    <xf numFmtId="2" fontId="4" fillId="4" borderId="1" xfId="0" applyNumberFormat="1" applyFont="1" applyFill="1" applyBorder="1" applyAlignment="1" applyProtection="1">
      <alignment horizontal="center"/>
      <protection hidden="1"/>
    </xf>
    <xf numFmtId="2" fontId="1" fillId="3" borderId="14" xfId="0" applyNumberFormat="1" applyFont="1" applyFill="1" applyBorder="1" applyAlignment="1" applyProtection="1">
      <alignment horizontal="center"/>
      <protection hidden="1"/>
    </xf>
    <xf numFmtId="2" fontId="1" fillId="3" borderId="15" xfId="0" applyNumberFormat="1" applyFont="1" applyFill="1" applyBorder="1" applyAlignment="1" applyProtection="1">
      <alignment horizontal="center"/>
      <protection hidden="1"/>
    </xf>
    <xf numFmtId="2" fontId="8" fillId="0" borderId="11" xfId="0" applyNumberFormat="1" applyFont="1" applyFill="1" applyBorder="1" applyAlignment="1" applyProtection="1">
      <alignment horizontal="center"/>
      <protection hidden="1"/>
    </xf>
    <xf numFmtId="2" fontId="4" fillId="0" borderId="16" xfId="0" applyNumberFormat="1" applyFont="1" applyFill="1" applyBorder="1" applyAlignment="1" applyProtection="1">
      <alignment horizontal="center"/>
      <protection hidden="1"/>
    </xf>
    <xf numFmtId="164" fontId="1" fillId="0" borderId="17" xfId="0" applyNumberFormat="1" applyFont="1" applyFill="1" applyBorder="1" applyProtection="1">
      <protection hidden="1"/>
    </xf>
    <xf numFmtId="164" fontId="1" fillId="0" borderId="4" xfId="0" applyNumberFormat="1" applyFont="1" applyFill="1" applyBorder="1" applyProtection="1">
      <protection hidden="1"/>
    </xf>
    <xf numFmtId="164" fontId="1" fillId="0" borderId="5" xfId="0" applyNumberFormat="1" applyFont="1" applyFill="1" applyBorder="1" applyProtection="1">
      <protection hidden="1"/>
    </xf>
    <xf numFmtId="0" fontId="1" fillId="0" borderId="13" xfId="0" applyFont="1" applyFill="1" applyBorder="1" applyAlignment="1" applyProtection="1">
      <alignment horizontal="right"/>
      <protection hidden="1"/>
    </xf>
    <xf numFmtId="49" fontId="1" fillId="0" borderId="1" xfId="0" applyNumberFormat="1" applyFont="1" applyFill="1" applyBorder="1" applyProtection="1">
      <protection hidden="1"/>
    </xf>
    <xf numFmtId="2" fontId="4" fillId="0" borderId="14" xfId="0" applyNumberFormat="1" applyFont="1" applyFill="1" applyBorder="1" applyAlignment="1" applyProtection="1">
      <alignment horizontal="center"/>
      <protection hidden="1"/>
    </xf>
    <xf numFmtId="164" fontId="1" fillId="0" borderId="13" xfId="0" applyNumberFormat="1" applyFont="1" applyFill="1" applyBorder="1" applyProtection="1">
      <protection hidden="1"/>
    </xf>
    <xf numFmtId="164" fontId="1" fillId="0" borderId="1" xfId="0" applyNumberFormat="1" applyFont="1" applyFill="1" applyBorder="1" applyProtection="1">
      <protection hidden="1"/>
    </xf>
    <xf numFmtId="164" fontId="1" fillId="0" borderId="14" xfId="0" applyNumberFormat="1" applyFont="1" applyFill="1" applyBorder="1" applyProtection="1">
      <protection hidden="1"/>
    </xf>
    <xf numFmtId="49" fontId="2" fillId="0" borderId="1" xfId="0" applyNumberFormat="1" applyFont="1" applyFill="1" applyBorder="1" applyAlignment="1" applyProtection="1">
      <alignment horizontal="right"/>
      <protection hidden="1"/>
    </xf>
    <xf numFmtId="164" fontId="2" fillId="0" borderId="1" xfId="0" applyNumberFormat="1" applyFont="1" applyFill="1" applyBorder="1" applyProtection="1">
      <protection hidden="1"/>
    </xf>
    <xf numFmtId="164" fontId="2" fillId="0" borderId="14" xfId="0" applyNumberFormat="1" applyFont="1" applyFill="1" applyBorder="1" applyProtection="1">
      <protection hidden="1"/>
    </xf>
    <xf numFmtId="2" fontId="2" fillId="0" borderId="13" xfId="0" applyNumberFormat="1" applyFont="1" applyFill="1" applyBorder="1" applyAlignment="1" applyProtection="1">
      <alignment horizontal="center"/>
      <protection hidden="1"/>
    </xf>
    <xf numFmtId="2" fontId="2" fillId="0" borderId="1" xfId="0" applyNumberFormat="1" applyFont="1" applyFill="1" applyBorder="1" applyAlignment="1" applyProtection="1">
      <alignment horizontal="center"/>
      <protection hidden="1"/>
    </xf>
    <xf numFmtId="2" fontId="3" fillId="4" borderId="1" xfId="0" applyNumberFormat="1" applyFont="1" applyFill="1" applyBorder="1" applyAlignment="1" applyProtection="1">
      <alignment horizontal="center"/>
      <protection hidden="1"/>
    </xf>
    <xf numFmtId="165" fontId="1" fillId="3" borderId="14" xfId="0" applyNumberFormat="1" applyFont="1" applyFill="1" applyBorder="1" applyAlignment="1" applyProtection="1">
      <alignment horizontal="center"/>
      <protection hidden="1"/>
    </xf>
    <xf numFmtId="2" fontId="9" fillId="0" borderId="11" xfId="0" applyNumberFormat="1" applyFont="1" applyFill="1" applyBorder="1" applyAlignment="1" applyProtection="1">
      <alignment horizontal="center"/>
      <protection hidden="1"/>
    </xf>
    <xf numFmtId="2" fontId="3" fillId="0" borderId="14" xfId="0" applyNumberFormat="1" applyFont="1" applyFill="1" applyBorder="1" applyAlignment="1" applyProtection="1">
      <alignment horizontal="center"/>
      <protection hidden="1"/>
    </xf>
    <xf numFmtId="164" fontId="2" fillId="0" borderId="13" xfId="0" applyNumberFormat="1" applyFont="1" applyFill="1" applyBorder="1" applyProtection="1">
      <protection hidden="1"/>
    </xf>
    <xf numFmtId="49" fontId="1" fillId="0" borderId="1" xfId="0" applyNumberFormat="1" applyFont="1" applyFill="1" applyBorder="1" applyAlignment="1" applyProtection="1">
      <alignment horizontal="left"/>
      <protection hidden="1"/>
    </xf>
    <xf numFmtId="164" fontId="10" fillId="0" borderId="1" xfId="0" applyNumberFormat="1" applyFont="1" applyFill="1" applyBorder="1" applyProtection="1">
      <protection hidden="1"/>
    </xf>
    <xf numFmtId="164" fontId="10" fillId="0" borderId="14" xfId="0" applyNumberFormat="1" applyFont="1" applyFill="1" applyBorder="1" applyProtection="1">
      <protection hidden="1"/>
    </xf>
    <xf numFmtId="0" fontId="1" fillId="0" borderId="18" xfId="0" applyFont="1" applyFill="1" applyBorder="1" applyAlignment="1" applyProtection="1">
      <alignment horizontal="right"/>
      <protection hidden="1"/>
    </xf>
    <xf numFmtId="49" fontId="2" fillId="0" borderId="19" xfId="0" applyNumberFormat="1" applyFont="1" applyFill="1" applyBorder="1" applyAlignment="1" applyProtection="1">
      <alignment horizontal="right"/>
      <protection hidden="1"/>
    </xf>
    <xf numFmtId="164" fontId="2" fillId="0" borderId="19" xfId="0" applyNumberFormat="1" applyFont="1" applyFill="1" applyBorder="1" applyProtection="1">
      <protection hidden="1"/>
    </xf>
    <xf numFmtId="164" fontId="2" fillId="0" borderId="20" xfId="0" applyNumberFormat="1" applyFont="1" applyFill="1" applyBorder="1" applyProtection="1">
      <protection hidden="1"/>
    </xf>
    <xf numFmtId="2" fontId="2" fillId="0" borderId="18" xfId="0" applyNumberFormat="1" applyFont="1" applyFill="1" applyBorder="1" applyAlignment="1" applyProtection="1">
      <alignment horizontal="center"/>
      <protection hidden="1"/>
    </xf>
    <xf numFmtId="2" fontId="2" fillId="0" borderId="19" xfId="0" applyNumberFormat="1" applyFont="1" applyFill="1" applyBorder="1" applyAlignment="1" applyProtection="1">
      <alignment horizontal="center"/>
      <protection hidden="1"/>
    </xf>
    <xf numFmtId="165" fontId="1" fillId="3" borderId="20" xfId="0" applyNumberFormat="1" applyFont="1" applyFill="1" applyBorder="1" applyAlignment="1" applyProtection="1">
      <alignment horizontal="center"/>
      <protection hidden="1"/>
    </xf>
    <xf numFmtId="2" fontId="1" fillId="3" borderId="21" xfId="0" applyNumberFormat="1" applyFont="1" applyFill="1" applyBorder="1" applyAlignment="1" applyProtection="1">
      <alignment horizontal="center"/>
      <protection hidden="1"/>
    </xf>
    <xf numFmtId="164" fontId="2" fillId="0" borderId="18" xfId="0" applyNumberFormat="1" applyFont="1" applyFill="1" applyBorder="1" applyProtection="1">
      <protection hidden="1"/>
    </xf>
    <xf numFmtId="164" fontId="2" fillId="0" borderId="0" xfId="0" applyNumberFormat="1" applyFont="1" applyFill="1" applyProtection="1">
      <protection hidden="1"/>
    </xf>
    <xf numFmtId="0" fontId="1" fillId="5" borderId="17" xfId="0" applyFont="1" applyFill="1" applyBorder="1" applyAlignment="1" applyProtection="1">
      <alignment horizontal="center" vertical="center" wrapText="1"/>
      <protection hidden="1"/>
    </xf>
    <xf numFmtId="0" fontId="1" fillId="5" borderId="4" xfId="0" applyFont="1" applyFill="1" applyBorder="1" applyAlignment="1" applyProtection="1">
      <alignment horizontal="center" vertical="center" wrapText="1"/>
      <protection hidden="1"/>
    </xf>
    <xf numFmtId="0" fontId="1" fillId="5" borderId="5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1" fillId="6" borderId="13" xfId="0" applyFont="1" applyFill="1" applyBorder="1" applyAlignment="1" applyProtection="1">
      <alignment horizontal="right" vertical="center" wrapText="1"/>
      <protection hidden="1"/>
    </xf>
    <xf numFmtId="0" fontId="1" fillId="6" borderId="1" xfId="0" applyFont="1" applyFill="1" applyBorder="1" applyAlignment="1" applyProtection="1">
      <alignment horizontal="left" vertical="center" wrapText="1"/>
      <protection hidden="1"/>
    </xf>
    <xf numFmtId="164" fontId="1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6" borderId="0" xfId="0" applyFont="1" applyFill="1" applyAlignment="1" applyProtection="1">
      <alignment horizontal="center" vertical="center" wrapText="1"/>
      <protection hidden="1"/>
    </xf>
    <xf numFmtId="0" fontId="1" fillId="6" borderId="0" xfId="0" applyFont="1" applyFill="1" applyAlignment="1" applyProtection="1">
      <alignment horizontal="center" vertical="center"/>
      <protection hidden="1"/>
    </xf>
    <xf numFmtId="2" fontId="8" fillId="0" borderId="13" xfId="0" applyNumberFormat="1" applyFont="1" applyFill="1" applyBorder="1" applyAlignment="1" applyProtection="1">
      <alignment horizontal="center"/>
      <protection hidden="1"/>
    </xf>
    <xf numFmtId="3" fontId="1" fillId="0" borderId="11" xfId="0" applyNumberFormat="1" applyFont="1" applyFill="1" applyBorder="1" applyProtection="1">
      <protection hidden="1"/>
    </xf>
    <xf numFmtId="0" fontId="1" fillId="6" borderId="0" xfId="0" applyFont="1" applyFill="1" applyProtection="1">
      <protection hidden="1"/>
    </xf>
    <xf numFmtId="3" fontId="1" fillId="0" borderId="13" xfId="0" applyNumberFormat="1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right"/>
      <protection hidden="1"/>
    </xf>
    <xf numFmtId="164" fontId="2" fillId="3" borderId="1" xfId="0" applyNumberFormat="1" applyFont="1" applyFill="1" applyBorder="1" applyProtection="1">
      <protection hidden="1"/>
    </xf>
    <xf numFmtId="3" fontId="2" fillId="0" borderId="0" xfId="0" applyNumberFormat="1" applyFont="1" applyFill="1" applyProtection="1">
      <protection hidden="1"/>
    </xf>
    <xf numFmtId="3" fontId="2" fillId="0" borderId="13" xfId="0" applyNumberFormat="1" applyFont="1" applyFill="1" applyBorder="1" applyProtection="1">
      <protection hidden="1"/>
    </xf>
    <xf numFmtId="3" fontId="2" fillId="0" borderId="1" xfId="0" applyNumberFormat="1" applyFont="1" applyFill="1" applyBorder="1" applyProtection="1">
      <protection hidden="1"/>
    </xf>
    <xf numFmtId="3" fontId="2" fillId="0" borderId="14" xfId="0" applyNumberFormat="1" applyFont="1" applyFill="1" applyBorder="1" applyProtection="1">
      <protection hidden="1"/>
    </xf>
    <xf numFmtId="3" fontId="1" fillId="0" borderId="0" xfId="0" applyNumberFormat="1" applyFont="1" applyFill="1" applyProtection="1">
      <protection hidden="1"/>
    </xf>
    <xf numFmtId="2" fontId="4" fillId="0" borderId="13" xfId="0" applyNumberFormat="1" applyFont="1" applyFill="1" applyBorder="1" applyAlignment="1" applyProtection="1">
      <alignment horizontal="center"/>
      <protection hidden="1"/>
    </xf>
    <xf numFmtId="3" fontId="1" fillId="0" borderId="1" xfId="0" applyNumberFormat="1" applyFont="1" applyFill="1" applyBorder="1" applyProtection="1">
      <protection hidden="1"/>
    </xf>
    <xf numFmtId="3" fontId="1" fillId="0" borderId="14" xfId="0" applyNumberFormat="1" applyFont="1" applyFill="1" applyBorder="1" applyProtection="1">
      <protection hidden="1"/>
    </xf>
    <xf numFmtId="0" fontId="1" fillId="0" borderId="14" xfId="0" applyFont="1" applyFill="1" applyBorder="1" applyProtection="1">
      <protection hidden="1"/>
    </xf>
    <xf numFmtId="0" fontId="1" fillId="0" borderId="19" xfId="0" applyFont="1" applyFill="1" applyBorder="1" applyAlignment="1" applyProtection="1">
      <alignment horizontal="left"/>
      <protection hidden="1"/>
    </xf>
    <xf numFmtId="0" fontId="2" fillId="0" borderId="20" xfId="0" applyFont="1" applyFill="1" applyBorder="1" applyProtection="1">
      <protection hidden="1"/>
    </xf>
    <xf numFmtId="2" fontId="1" fillId="3" borderId="20" xfId="0" applyNumberFormat="1" applyFont="1" applyFill="1" applyBorder="1" applyAlignment="1" applyProtection="1">
      <alignment horizontal="center"/>
      <protection hidden="1"/>
    </xf>
    <xf numFmtId="3" fontId="2" fillId="0" borderId="18" xfId="0" applyNumberFormat="1" applyFont="1" applyFill="1" applyBorder="1" applyProtection="1">
      <protection hidden="1"/>
    </xf>
    <xf numFmtId="3" fontId="2" fillId="0" borderId="19" xfId="0" applyNumberFormat="1" applyFont="1" applyFill="1" applyBorder="1" applyProtection="1">
      <protection hidden="1"/>
    </xf>
    <xf numFmtId="3" fontId="2" fillId="0" borderId="20" xfId="0" applyNumberFormat="1" applyFont="1" applyFill="1" applyBorder="1" applyProtection="1">
      <protection hidden="1"/>
    </xf>
    <xf numFmtId="0" fontId="2" fillId="0" borderId="0" xfId="0" applyFont="1" applyFill="1" applyAlignment="1" applyProtection="1">
      <alignment horizontal="right"/>
      <protection hidden="1"/>
    </xf>
    <xf numFmtId="0" fontId="2" fillId="0" borderId="0" xfId="0" applyFont="1" applyFill="1" applyBorder="1" applyProtection="1">
      <protection hidden="1"/>
    </xf>
    <xf numFmtId="0" fontId="11" fillId="0" borderId="17" xfId="0" applyFont="1" applyFill="1" applyBorder="1" applyProtection="1">
      <protection hidden="1"/>
    </xf>
    <xf numFmtId="164" fontId="11" fillId="2" borderId="4" xfId="0" applyNumberFormat="1" applyFont="1" applyFill="1" applyBorder="1" applyProtection="1">
      <protection hidden="1"/>
    </xf>
    <xf numFmtId="164" fontId="11" fillId="2" borderId="5" xfId="0" applyNumberFormat="1" applyFont="1" applyFill="1" applyBorder="1" applyProtection="1">
      <protection hidden="1"/>
    </xf>
    <xf numFmtId="0" fontId="12" fillId="0" borderId="22" xfId="0" applyFont="1" applyFill="1" applyBorder="1" applyProtection="1">
      <protection hidden="1"/>
    </xf>
    <xf numFmtId="0" fontId="13" fillId="0" borderId="0" xfId="0" applyFont="1" applyFill="1" applyAlignment="1" applyProtection="1">
      <alignment horizontal="left"/>
      <protection hidden="1"/>
    </xf>
    <xf numFmtId="164" fontId="6" fillId="0" borderId="0" xfId="0" applyNumberFormat="1" applyFont="1" applyFill="1" applyProtection="1">
      <protection hidden="1"/>
    </xf>
    <xf numFmtId="0" fontId="11" fillId="0" borderId="13" xfId="0" applyFont="1" applyFill="1" applyBorder="1" applyProtection="1">
      <protection hidden="1"/>
    </xf>
    <xf numFmtId="3" fontId="12" fillId="0" borderId="1" xfId="0" applyNumberFormat="1" applyFont="1" applyFill="1" applyBorder="1" applyAlignment="1" applyProtection="1">
      <alignment horizontal="center"/>
      <protection hidden="1"/>
    </xf>
    <xf numFmtId="3" fontId="12" fillId="0" borderId="14" xfId="0" applyNumberFormat="1" applyFont="1" applyFill="1" applyBorder="1" applyAlignment="1" applyProtection="1">
      <alignment horizontal="center"/>
      <protection hidden="1"/>
    </xf>
    <xf numFmtId="3" fontId="12" fillId="0" borderId="0" xfId="0" applyNumberFormat="1" applyFont="1" applyFill="1" applyBorder="1" applyProtection="1">
      <protection hidden="1"/>
    </xf>
    <xf numFmtId="0" fontId="14" fillId="0" borderId="13" xfId="0" applyFont="1" applyFill="1" applyBorder="1" applyAlignment="1" applyProtection="1">
      <alignment horizontal="right"/>
      <protection hidden="1"/>
    </xf>
    <xf numFmtId="164" fontId="14" fillId="2" borderId="1" xfId="0" applyNumberFormat="1" applyFont="1" applyFill="1" applyBorder="1" applyAlignment="1" applyProtection="1">
      <alignment horizontal="center"/>
      <protection hidden="1"/>
    </xf>
    <xf numFmtId="164" fontId="14" fillId="2" borderId="14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4" fontId="2" fillId="0" borderId="0" xfId="0" applyNumberFormat="1" applyFont="1" applyFill="1" applyProtection="1">
      <protection hidden="1"/>
    </xf>
    <xf numFmtId="4" fontId="11" fillId="2" borderId="1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Protection="1"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2" fillId="0" borderId="14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6" fillId="0" borderId="0" xfId="0" applyFont="1" applyFill="1" applyAlignment="1" applyProtection="1">
      <alignment horizontal="right"/>
      <protection hidden="1"/>
    </xf>
    <xf numFmtId="164" fontId="17" fillId="2" borderId="1" xfId="0" applyNumberFormat="1" applyFont="1" applyFill="1" applyBorder="1" applyAlignment="1" applyProtection="1">
      <alignment horizontal="center"/>
      <protection hidden="1"/>
    </xf>
    <xf numFmtId="164" fontId="17" fillId="2" borderId="14" xfId="0" applyNumberFormat="1" applyFont="1" applyFill="1" applyBorder="1" applyAlignment="1" applyProtection="1">
      <alignment horizontal="center"/>
      <protection hidden="1"/>
    </xf>
    <xf numFmtId="0" fontId="11" fillId="0" borderId="18" xfId="0" applyFont="1" applyFill="1" applyBorder="1" applyProtection="1">
      <protection hidden="1"/>
    </xf>
    <xf numFmtId="4" fontId="11" fillId="0" borderId="19" xfId="0" applyNumberFormat="1" applyFont="1" applyFill="1" applyBorder="1" applyAlignment="1" applyProtection="1">
      <alignment horizontal="center"/>
      <protection hidden="1"/>
    </xf>
    <xf numFmtId="0" fontId="12" fillId="0" borderId="23" xfId="0" applyFont="1" applyFill="1" applyBorder="1" applyProtection="1">
      <protection hidden="1"/>
    </xf>
    <xf numFmtId="4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left"/>
      <protection hidden="1"/>
    </xf>
    <xf numFmtId="0" fontId="2" fillId="0" borderId="27" xfId="0" applyFont="1" applyFill="1" applyBorder="1" applyProtection="1">
      <protection hidden="1"/>
    </xf>
    <xf numFmtId="0" fontId="2" fillId="0" borderId="28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Protection="1">
      <protection hidden="1"/>
    </xf>
    <xf numFmtId="2" fontId="9" fillId="0" borderId="29" xfId="0" applyNumberFormat="1" applyFont="1" applyFill="1" applyBorder="1" applyAlignment="1" applyProtection="1">
      <alignment horizontal="center"/>
      <protection hidden="1"/>
    </xf>
    <xf numFmtId="2" fontId="1" fillId="0" borderId="0" xfId="0" applyNumberFormat="1" applyFont="1" applyFill="1" applyBorder="1" applyAlignment="1" applyProtection="1">
      <alignment horizontal="center"/>
      <protection hidden="1"/>
    </xf>
    <xf numFmtId="0" fontId="1" fillId="6" borderId="0" xfId="0" applyFont="1" applyFill="1" applyBorder="1" applyAlignment="1" applyProtection="1">
      <alignment horizontal="center" vertical="center"/>
      <protection hidden="1"/>
    </xf>
    <xf numFmtId="2" fontId="8" fillId="0" borderId="15" xfId="0" applyNumberFormat="1" applyFont="1" applyFill="1" applyBorder="1" applyAlignment="1" applyProtection="1">
      <alignment horizontal="center"/>
      <protection hidden="1"/>
    </xf>
    <xf numFmtId="0" fontId="2" fillId="0" borderId="23" xfId="0" applyFont="1" applyFill="1" applyBorder="1" applyProtection="1">
      <protection hidden="1"/>
    </xf>
    <xf numFmtId="2" fontId="9" fillId="0" borderId="30" xfId="0" applyNumberFormat="1" applyFont="1" applyFill="1" applyBorder="1" applyAlignment="1" applyProtection="1">
      <alignment horizontal="center"/>
      <protection hidden="1"/>
    </xf>
    <xf numFmtId="2" fontId="9" fillId="0" borderId="31" xfId="0" applyNumberFormat="1" applyFont="1" applyFill="1" applyBorder="1" applyAlignment="1" applyProtection="1">
      <alignment horizontal="center"/>
      <protection hidden="1"/>
    </xf>
    <xf numFmtId="0" fontId="1" fillId="0" borderId="27" xfId="0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28" xfId="0" applyFont="1" applyFill="1" applyBorder="1" applyAlignment="1" applyProtection="1">
      <alignment horizontal="center"/>
      <protection hidden="1"/>
    </xf>
    <xf numFmtId="164" fontId="1" fillId="3" borderId="14" xfId="0" applyNumberFormat="1" applyFont="1" applyFill="1" applyBorder="1" applyAlignment="1" applyProtection="1">
      <alignment horizontal="center"/>
      <protection hidden="1"/>
    </xf>
    <xf numFmtId="0" fontId="1" fillId="0" borderId="27" xfId="0" applyFont="1" applyFill="1" applyBorder="1" applyAlignment="1" applyProtection="1">
      <alignment horizontal="right"/>
      <protection hidden="1"/>
    </xf>
    <xf numFmtId="49" fontId="2" fillId="0" borderId="0" xfId="0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 applyFill="1" applyBorder="1" applyProtection="1">
      <protection hidden="1"/>
    </xf>
    <xf numFmtId="164" fontId="2" fillId="0" borderId="28" xfId="0" applyNumberFormat="1" applyFont="1" applyFill="1" applyBorder="1" applyProtection="1">
      <protection hidden="1"/>
    </xf>
    <xf numFmtId="164" fontId="1" fillId="6" borderId="14" xfId="0" applyNumberFormat="1" applyFont="1" applyFill="1" applyBorder="1" applyAlignment="1" applyProtection="1">
      <alignment horizontal="center" vertical="center" wrapText="1"/>
      <protection hidden="1"/>
    </xf>
    <xf numFmtId="164" fontId="2" fillId="3" borderId="14" xfId="0" applyNumberFormat="1" applyFont="1" applyFill="1" applyBorder="1" applyProtection="1">
      <protection hidden="1"/>
    </xf>
    <xf numFmtId="2" fontId="4" fillId="3" borderId="14" xfId="0" applyNumberFormat="1" applyFont="1" applyFill="1" applyBorder="1" applyAlignment="1" applyProtection="1">
      <alignment horizontal="center"/>
      <protection hidden="1"/>
    </xf>
    <xf numFmtId="2" fontId="3" fillId="0" borderId="13" xfId="0" applyNumberFormat="1" applyFont="1" applyFill="1" applyBorder="1" applyAlignment="1" applyProtection="1">
      <alignment horizontal="center"/>
      <protection hidden="1"/>
    </xf>
    <xf numFmtId="2" fontId="3" fillId="0" borderId="1" xfId="0" applyNumberFormat="1" applyFont="1" applyFill="1" applyBorder="1" applyAlignment="1" applyProtection="1">
      <alignment horizontal="center"/>
      <protection hidden="1"/>
    </xf>
    <xf numFmtId="2" fontId="4" fillId="0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left"/>
      <protection hidden="1"/>
    </xf>
    <xf numFmtId="0" fontId="6" fillId="0" borderId="24" xfId="0" applyFont="1" applyFill="1" applyBorder="1" applyAlignment="1" applyProtection="1">
      <alignment horizontal="center"/>
      <protection hidden="1"/>
    </xf>
    <xf numFmtId="0" fontId="6" fillId="0" borderId="25" xfId="0" applyFont="1" applyFill="1" applyBorder="1" applyAlignment="1" applyProtection="1">
      <alignment horizontal="center"/>
      <protection hidden="1"/>
    </xf>
    <xf numFmtId="0" fontId="6" fillId="0" borderId="26" xfId="0" applyFont="1" applyFill="1" applyBorder="1" applyAlignment="1" applyProtection="1">
      <alignment horizontal="center"/>
      <protection hidden="1"/>
    </xf>
    <xf numFmtId="0" fontId="1" fillId="0" borderId="24" xfId="0" applyFont="1" applyFill="1" applyBorder="1" applyAlignment="1" applyProtection="1">
      <alignment horizontal="center"/>
      <protection hidden="1"/>
    </xf>
    <xf numFmtId="0" fontId="1" fillId="0" borderId="25" xfId="0" applyFont="1" applyFill="1" applyBorder="1" applyAlignment="1" applyProtection="1">
      <alignment horizontal="center"/>
      <protection hidden="1"/>
    </xf>
    <xf numFmtId="0" fontId="1" fillId="0" borderId="26" xfId="0" applyFont="1" applyFill="1" applyBorder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center"/>
      <protection hidden="1"/>
    </xf>
    <xf numFmtId="0" fontId="20" fillId="0" borderId="0" xfId="0" applyFont="1" applyFill="1" applyAlignment="1" applyProtection="1">
      <alignment horizontal="center"/>
      <protection hidden="1"/>
    </xf>
    <xf numFmtId="2" fontId="4" fillId="0" borderId="20" xfId="0" applyNumberFormat="1" applyFont="1" applyFill="1" applyBorder="1" applyAlignment="1" applyProtection="1">
      <alignment horizontal="center"/>
      <protection hidden="1"/>
    </xf>
    <xf numFmtId="2" fontId="1" fillId="3" borderId="29" xfId="0" applyNumberFormat="1" applyFont="1" applyFill="1" applyBorder="1" applyAlignment="1" applyProtection="1">
      <alignment horizontal="center"/>
      <protection hidden="1"/>
    </xf>
    <xf numFmtId="2" fontId="1" fillId="0" borderId="11" xfId="0" applyNumberFormat="1" applyFont="1" applyFill="1" applyBorder="1" applyAlignment="1" applyProtection="1">
      <alignment horizontal="center"/>
      <protection hidden="1"/>
    </xf>
    <xf numFmtId="2" fontId="1" fillId="0" borderId="12" xfId="0" applyNumberFormat="1" applyFont="1" applyFill="1" applyBorder="1" applyAlignment="1" applyProtection="1">
      <alignment horizontal="center"/>
      <protection hidden="1"/>
    </xf>
    <xf numFmtId="2" fontId="1" fillId="3" borderId="16" xfId="0" applyNumberFormat="1" applyFont="1" applyFill="1" applyBorder="1" applyAlignment="1" applyProtection="1">
      <alignment horizontal="center"/>
      <protection hidden="1"/>
    </xf>
    <xf numFmtId="2" fontId="1" fillId="0" borderId="18" xfId="0" applyNumberFormat="1" applyFont="1" applyFill="1" applyBorder="1" applyAlignment="1" applyProtection="1">
      <alignment horizontal="center"/>
      <protection hidden="1"/>
    </xf>
    <xf numFmtId="2" fontId="1" fillId="0" borderId="19" xfId="0" applyNumberFormat="1" applyFont="1" applyFill="1" applyBorder="1" applyAlignment="1" applyProtection="1">
      <alignment horizontal="center"/>
      <protection hidden="1"/>
    </xf>
    <xf numFmtId="2" fontId="4" fillId="0" borderId="19" xfId="0" applyNumberFormat="1" applyFont="1" applyFill="1" applyBorder="1" applyAlignment="1" applyProtection="1">
      <alignment horizontal="center"/>
      <protection hidden="1"/>
    </xf>
    <xf numFmtId="2" fontId="4" fillId="4" borderId="19" xfId="0" applyNumberFormat="1" applyFont="1" applyFill="1" applyBorder="1" applyAlignment="1" applyProtection="1">
      <alignment horizontal="center"/>
      <protection hidden="1"/>
    </xf>
    <xf numFmtId="2" fontId="4" fillId="3" borderId="20" xfId="0" applyNumberFormat="1" applyFont="1" applyFill="1" applyBorder="1" applyAlignment="1" applyProtection="1">
      <alignment horizontal="center"/>
      <protection hidden="1"/>
    </xf>
    <xf numFmtId="0" fontId="1" fillId="0" borderId="12" xfId="0" applyFont="1" applyFill="1" applyBorder="1" applyAlignment="1" applyProtection="1">
      <alignment horizontal="left"/>
      <protection hidden="1"/>
    </xf>
    <xf numFmtId="164" fontId="1" fillId="3" borderId="12" xfId="0" applyNumberFormat="1" applyFont="1" applyFill="1" applyBorder="1" applyAlignment="1" applyProtection="1">
      <alignment horizontal="center"/>
      <protection hidden="1"/>
    </xf>
    <xf numFmtId="164" fontId="1" fillId="3" borderId="16" xfId="0" applyNumberFormat="1" applyFont="1" applyFill="1" applyBorder="1" applyAlignment="1" applyProtection="1">
      <alignment horizontal="center"/>
      <protection hidden="1"/>
    </xf>
    <xf numFmtId="49" fontId="1" fillId="0" borderId="19" xfId="0" applyNumberFormat="1" applyFont="1" applyFill="1" applyBorder="1" applyAlignment="1" applyProtection="1">
      <alignment horizontal="left"/>
      <protection hidden="1"/>
    </xf>
    <xf numFmtId="164" fontId="1" fillId="0" borderId="19" xfId="0" applyNumberFormat="1" applyFont="1" applyFill="1" applyBorder="1" applyProtection="1">
      <protection hidden="1"/>
    </xf>
    <xf numFmtId="164" fontId="1" fillId="0" borderId="20" xfId="0" applyNumberFormat="1" applyFont="1" applyFill="1" applyBorder="1" applyProtection="1">
      <protection hidden="1"/>
    </xf>
    <xf numFmtId="0" fontId="1" fillId="0" borderId="23" xfId="0" applyFont="1" applyFill="1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martinez\Desktop\Bitacora%20Calculo%20-ROL%20Vilcun-%202026-2028%20al%2019.08.2025.-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tacora  FINAL 2026-2028"/>
      <sheetName val="HT1-Bitacora calculo RSD"/>
      <sheetName val="HT2-Bitacora calculo RSD CORREG"/>
      <sheetName val="Factor Lic.-FLUJOS-"/>
      <sheetName val="DINAMICA BRA+BRNA 2025"/>
      <sheetName val="DINAMICA REMUNERACIONES"/>
      <sheetName val="HT1 - BRA+BRNA 2025"/>
      <sheetName val="BRA+BRNA 2025"/>
      <sheetName val="HT 1-Remuneraciones DIMAAO"/>
      <sheetName val="Remuneraciones DIMAAO"/>
      <sheetName val="UF 2024"/>
      <sheetName val="UF 2025"/>
    </sheetNames>
    <sheetDataSet>
      <sheetData sheetId="0"/>
      <sheetData sheetId="1"/>
      <sheetData sheetId="2"/>
      <sheetData sheetId="3">
        <row r="6">
          <cell r="P6">
            <v>3470250.4038999998</v>
          </cell>
        </row>
        <row r="22">
          <cell r="K22">
            <v>176244033.53333333</v>
          </cell>
        </row>
        <row r="26">
          <cell r="E26">
            <v>78784132.307692319</v>
          </cell>
        </row>
        <row r="27">
          <cell r="E27">
            <v>71525567.692307696</v>
          </cell>
        </row>
        <row r="28">
          <cell r="E28">
            <v>106383984</v>
          </cell>
        </row>
        <row r="29">
          <cell r="E29">
            <v>122433182.06896552</v>
          </cell>
        </row>
        <row r="30">
          <cell r="E30">
            <v>136264988.96551725</v>
          </cell>
        </row>
        <row r="39">
          <cell r="P39">
            <v>45956002</v>
          </cell>
        </row>
        <row r="40">
          <cell r="O40">
            <v>2615316</v>
          </cell>
        </row>
        <row r="47">
          <cell r="P47">
            <v>1105461.235475</v>
          </cell>
        </row>
        <row r="57">
          <cell r="F57">
            <v>1.7375683177963737E-2</v>
          </cell>
        </row>
      </sheetData>
      <sheetData sheetId="4">
        <row r="10">
          <cell r="J10">
            <v>7878</v>
          </cell>
        </row>
      </sheetData>
      <sheetData sheetId="5">
        <row r="11">
          <cell r="E11">
            <v>32360860.75</v>
          </cell>
          <cell r="F11">
            <v>40208375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C56"/>
  <sheetViews>
    <sheetView tabSelected="1" topLeftCell="A14" zoomScale="60" zoomScaleNormal="60" workbookViewId="0">
      <selection activeCell="R54" sqref="R54"/>
    </sheetView>
  </sheetViews>
  <sheetFormatPr baseColWidth="10" defaultColWidth="9.140625" defaultRowHeight="15" x14ac:dyDescent="0.25"/>
  <cols>
    <col min="1" max="1" width="3.140625" style="2" customWidth="1"/>
    <col min="2" max="2" width="10.28515625" style="1" customWidth="1"/>
    <col min="3" max="3" width="76" style="2" customWidth="1"/>
    <col min="4" max="4" width="19.42578125" style="2" customWidth="1"/>
    <col min="5" max="6" width="17.85546875" style="2" bestFit="1" customWidth="1"/>
    <col min="7" max="7" width="18.28515625" style="2" bestFit="1" customWidth="1"/>
    <col min="8" max="8" width="17.85546875" style="2" bestFit="1" customWidth="1"/>
    <col min="9" max="9" width="20" style="2" customWidth="1"/>
    <col min="10" max="10" width="6.7109375" style="3" customWidth="1"/>
    <col min="11" max="15" width="13.140625" style="2" customWidth="1"/>
    <col min="16" max="16" width="16.140625" style="2" customWidth="1"/>
    <col min="17" max="17" width="2" style="2" customWidth="1"/>
    <col min="18" max="18" width="20" style="2" customWidth="1"/>
    <col min="19" max="19" width="2.28515625" style="2" customWidth="1"/>
    <col min="20" max="20" width="15.140625" style="2" customWidth="1"/>
    <col min="21" max="21" width="14.140625" style="2" customWidth="1"/>
    <col min="22" max="22" width="35.42578125" style="2" customWidth="1"/>
    <col min="23" max="23" width="17.85546875" style="2" bestFit="1" customWidth="1"/>
    <col min="24" max="24" width="18.28515625" style="2" bestFit="1" customWidth="1"/>
    <col min="25" max="25" width="18.85546875" style="2" customWidth="1"/>
    <col min="26" max="26" width="8.28515625" style="2" customWidth="1"/>
    <col min="27" max="27" width="20" style="2" customWidth="1"/>
    <col min="28" max="28" width="9.140625" style="2"/>
    <col min="29" max="29" width="9.85546875" style="2" bestFit="1" customWidth="1"/>
    <col min="30" max="30" width="0" style="2" hidden="1" customWidth="1"/>
    <col min="31" max="16384" width="9.140625" style="2"/>
  </cols>
  <sheetData>
    <row r="1" spans="2:26" x14ac:dyDescent="0.25">
      <c r="B1" s="1" t="s">
        <v>61</v>
      </c>
      <c r="W1" s="150" t="s">
        <v>0</v>
      </c>
      <c r="X1" s="150"/>
      <c r="Y1" s="150"/>
      <c r="Z1" s="4">
        <v>-1.17</v>
      </c>
    </row>
    <row r="2" spans="2:26" ht="25.5" x14ac:dyDescent="0.35">
      <c r="B2" s="1" t="s">
        <v>62</v>
      </c>
      <c r="D2" s="158" t="s">
        <v>63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W2" s="150" t="s">
        <v>2</v>
      </c>
      <c r="X2" s="150"/>
      <c r="Y2" s="150"/>
      <c r="Z2" s="7">
        <f>1+P29</f>
        <v>1.1365659525966392</v>
      </c>
    </row>
    <row r="3" spans="2:26" x14ac:dyDescent="0.25">
      <c r="D3" s="8"/>
      <c r="W3" s="150" t="s">
        <v>3</v>
      </c>
      <c r="X3" s="150"/>
      <c r="Y3" s="150"/>
      <c r="Z3" s="9">
        <f>(1+'[1]Factor Lic.-FLUJOS-'!F57)</f>
        <v>1.0173756831779637</v>
      </c>
    </row>
    <row r="4" spans="2:26" ht="15.75" thickBot="1" x14ac:dyDescent="0.3">
      <c r="G4" s="5" t="s">
        <v>1</v>
      </c>
      <c r="H4" s="6">
        <v>68785</v>
      </c>
    </row>
    <row r="5" spans="2:26" ht="19.5" thickBot="1" x14ac:dyDescent="0.35">
      <c r="B5" s="151" t="s">
        <v>4</v>
      </c>
      <c r="C5" s="152"/>
      <c r="D5" s="152"/>
      <c r="E5" s="152"/>
      <c r="F5" s="152"/>
      <c r="G5" s="152"/>
      <c r="H5" s="152"/>
      <c r="I5" s="153"/>
      <c r="K5" s="154" t="s">
        <v>5</v>
      </c>
      <c r="L5" s="155"/>
      <c r="M5" s="155"/>
      <c r="N5" s="155"/>
      <c r="O5" s="155"/>
      <c r="P5" s="155"/>
      <c r="Q5" s="155"/>
      <c r="R5" s="155"/>
      <c r="S5" s="155"/>
      <c r="T5" s="155"/>
      <c r="U5" s="156"/>
      <c r="W5" s="157" t="s">
        <v>6</v>
      </c>
      <c r="X5" s="157"/>
      <c r="Y5" s="157"/>
    </row>
    <row r="6" spans="2:26" ht="15.75" thickBot="1" x14ac:dyDescent="0.3">
      <c r="B6" s="136"/>
      <c r="C6" s="96"/>
      <c r="D6" s="137">
        <v>1</v>
      </c>
      <c r="E6" s="137">
        <v>2</v>
      </c>
      <c r="F6" s="137">
        <v>3</v>
      </c>
      <c r="G6" s="137">
        <v>4</v>
      </c>
      <c r="H6" s="137">
        <v>5</v>
      </c>
      <c r="I6" s="138">
        <v>6</v>
      </c>
      <c r="K6" s="125"/>
      <c r="L6" s="96"/>
      <c r="M6" s="96"/>
      <c r="N6" s="96"/>
      <c r="O6" s="96"/>
      <c r="P6" s="96"/>
      <c r="Q6" s="96"/>
      <c r="R6" s="96"/>
      <c r="S6" s="96"/>
      <c r="T6" s="96"/>
      <c r="U6" s="126"/>
    </row>
    <row r="7" spans="2:26" ht="43.5" thickBot="1" x14ac:dyDescent="0.3">
      <c r="B7" s="10">
        <v>1</v>
      </c>
      <c r="C7" s="11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3" t="s">
        <v>13</v>
      </c>
      <c r="K7" s="14" t="s">
        <v>14</v>
      </c>
      <c r="L7" s="15" t="s">
        <v>15</v>
      </c>
      <c r="M7" s="15" t="s">
        <v>16</v>
      </c>
      <c r="N7" s="15" t="s">
        <v>17</v>
      </c>
      <c r="O7" s="15" t="s">
        <v>18</v>
      </c>
      <c r="P7" s="13" t="s">
        <v>60</v>
      </c>
      <c r="Q7" s="127"/>
      <c r="R7" s="17" t="s">
        <v>19</v>
      </c>
      <c r="S7" s="127"/>
      <c r="T7" s="10" t="s">
        <v>20</v>
      </c>
      <c r="U7" s="18" t="s">
        <v>21</v>
      </c>
      <c r="V7" s="16"/>
      <c r="W7" s="19">
        <v>2026</v>
      </c>
      <c r="X7" s="20">
        <v>2027</v>
      </c>
      <c r="Y7" s="21">
        <v>2028</v>
      </c>
    </row>
    <row r="8" spans="2:26" s="1" customFormat="1" ht="14.25" x14ac:dyDescent="0.2">
      <c r="B8" s="22">
        <v>1</v>
      </c>
      <c r="C8" s="23" t="s">
        <v>22</v>
      </c>
      <c r="D8" s="24">
        <f t="shared" ref="D8:I8" si="0">+D9+D11+D14+D20</f>
        <v>28953732</v>
      </c>
      <c r="E8" s="24">
        <f t="shared" si="0"/>
        <v>26465218</v>
      </c>
      <c r="F8" s="24">
        <f t="shared" si="0"/>
        <v>14909464</v>
      </c>
      <c r="G8" s="24">
        <f t="shared" si="0"/>
        <v>55769256</v>
      </c>
      <c r="H8" s="24">
        <f t="shared" si="0"/>
        <v>45435641</v>
      </c>
      <c r="I8" s="139">
        <f t="shared" si="0"/>
        <v>46146168.22095</v>
      </c>
      <c r="J8" s="25"/>
      <c r="K8" s="85">
        <f>(E8-D8)/D8</f>
        <v>-8.5947953099793833E-2</v>
      </c>
      <c r="L8" s="149">
        <f t="shared" ref="L8:O20" si="1">(F8-E8)/E8</f>
        <v>-0.43663929010522412</v>
      </c>
      <c r="M8" s="28"/>
      <c r="N8" s="27">
        <f t="shared" si="1"/>
        <v>-0.18529232306774901</v>
      </c>
      <c r="O8" s="27">
        <f t="shared" si="1"/>
        <v>1.5638102716543603E-2</v>
      </c>
      <c r="P8" s="146">
        <f t="shared" ref="P8:P24" si="2">AVERAGE(K8:O8)</f>
        <v>-0.17306036588905582</v>
      </c>
      <c r="Q8" s="128"/>
      <c r="R8" s="30">
        <f>STDEV(K8:O8)</f>
        <v>0.19392365730138855</v>
      </c>
      <c r="S8" s="128"/>
      <c r="T8" s="31">
        <f>+P8+R8</f>
        <v>2.086329141233273E-2</v>
      </c>
      <c r="U8" s="32">
        <f>+P8-R8</f>
        <v>-0.36698402319044438</v>
      </c>
      <c r="W8" s="33">
        <f>+W9+W11+W14+W20</f>
        <v>-53991016.818511494</v>
      </c>
      <c r="X8" s="34">
        <f t="shared" ref="X8:Y8" si="3">+X9+X11+X14+X20</f>
        <v>63169489.677658454</v>
      </c>
      <c r="Y8" s="35">
        <f t="shared" si="3"/>
        <v>-73908302.922860384</v>
      </c>
    </row>
    <row r="9" spans="2:26" s="1" customFormat="1" ht="14.25" x14ac:dyDescent="0.2">
      <c r="B9" s="36" t="s">
        <v>23</v>
      </c>
      <c r="C9" s="37" t="s">
        <v>24</v>
      </c>
      <c r="D9" s="24">
        <f t="shared" ref="D9:I9" si="4">+D10</f>
        <v>25687687</v>
      </c>
      <c r="E9" s="24">
        <f t="shared" si="4"/>
        <v>23833533</v>
      </c>
      <c r="F9" s="24">
        <f t="shared" si="4"/>
        <v>10696878</v>
      </c>
      <c r="G9" s="24">
        <f t="shared" si="4"/>
        <v>38346176</v>
      </c>
      <c r="H9" s="24">
        <f t="shared" si="4"/>
        <v>32110295</v>
      </c>
      <c r="I9" s="139">
        <f t="shared" si="4"/>
        <v>32360860.75</v>
      </c>
      <c r="J9" s="25"/>
      <c r="K9" s="85">
        <f t="shared" ref="K9:N24" si="5">(E9-D9)/D9</f>
        <v>-7.2180652154473848E-2</v>
      </c>
      <c r="L9" s="149">
        <f t="shared" si="1"/>
        <v>-0.55118370406938832</v>
      </c>
      <c r="M9" s="28"/>
      <c r="N9" s="27">
        <f t="shared" si="1"/>
        <v>-0.16262067435355224</v>
      </c>
      <c r="O9" s="27">
        <f t="shared" si="1"/>
        <v>7.8032839623553753E-3</v>
      </c>
      <c r="P9" s="146">
        <f t="shared" si="2"/>
        <v>-0.19454543665376475</v>
      </c>
      <c r="Q9" s="128"/>
      <c r="R9" s="30">
        <f t="shared" ref="R9:R24" si="6">STDEV(K9:O9)</f>
        <v>0.24774192852891727</v>
      </c>
      <c r="S9" s="128"/>
      <c r="T9" s="31">
        <f t="shared" ref="T9:T24" si="7">+P9+R9</f>
        <v>5.3196491875152518E-2</v>
      </c>
      <c r="U9" s="38">
        <f t="shared" ref="U9:U24" si="8">+P9-R9</f>
        <v>-0.44228736518268202</v>
      </c>
      <c r="W9" s="39">
        <f>+W10</f>
        <v>-37862207.077500001</v>
      </c>
      <c r="X9" s="40">
        <f t="shared" ref="X9:Y9" si="9">+X10</f>
        <v>44298782.280675001</v>
      </c>
      <c r="Y9" s="41">
        <f t="shared" si="9"/>
        <v>-51829575.268389747</v>
      </c>
    </row>
    <row r="10" spans="2:26" x14ac:dyDescent="0.25">
      <c r="B10" s="36"/>
      <c r="C10" s="42" t="s">
        <v>64</v>
      </c>
      <c r="D10" s="43">
        <v>25687687</v>
      </c>
      <c r="E10" s="43">
        <v>23833533</v>
      </c>
      <c r="F10" s="43">
        <v>10696878</v>
      </c>
      <c r="G10" s="43">
        <v>38346176</v>
      </c>
      <c r="H10" s="43">
        <v>32110295</v>
      </c>
      <c r="I10" s="44">
        <f>+'[1]DINAMICA REMUNERACIONES'!E11</f>
        <v>32360860.75</v>
      </c>
      <c r="K10" s="147">
        <f t="shared" si="5"/>
        <v>-7.2180652154473848E-2</v>
      </c>
      <c r="L10" s="148">
        <f t="shared" si="1"/>
        <v>-0.55118370406938832</v>
      </c>
      <c r="M10" s="47"/>
      <c r="N10" s="46">
        <f t="shared" si="1"/>
        <v>-0.16262067435355224</v>
      </c>
      <c r="O10" s="46">
        <f t="shared" si="1"/>
        <v>7.8032839623553753E-3</v>
      </c>
      <c r="P10" s="146">
        <f t="shared" si="2"/>
        <v>-0.19454543665376475</v>
      </c>
      <c r="Q10" s="96"/>
      <c r="R10" s="30">
        <f t="shared" si="6"/>
        <v>0.24774192852891727</v>
      </c>
      <c r="S10" s="96"/>
      <c r="T10" s="49">
        <f t="shared" si="7"/>
        <v>5.3196491875152518E-2</v>
      </c>
      <c r="U10" s="50">
        <f t="shared" si="8"/>
        <v>-0.44228736518268202</v>
      </c>
      <c r="W10" s="51">
        <f>+I10*$Z$1</f>
        <v>-37862207.077500001</v>
      </c>
      <c r="X10" s="43">
        <f>+W10*$Z$1</f>
        <v>44298782.280675001</v>
      </c>
      <c r="Y10" s="44">
        <f>+X10*$Z$1</f>
        <v>-51829575.268389747</v>
      </c>
    </row>
    <row r="11" spans="2:26" s="1" customFormat="1" x14ac:dyDescent="0.25">
      <c r="B11" s="36" t="s">
        <v>25</v>
      </c>
      <c r="C11" s="52" t="s">
        <v>26</v>
      </c>
      <c r="D11" s="24">
        <f t="shared" ref="D11:I11" si="10">+D12+D13</f>
        <v>0</v>
      </c>
      <c r="E11" s="24">
        <f t="shared" si="10"/>
        <v>0</v>
      </c>
      <c r="F11" s="24">
        <f t="shared" si="10"/>
        <v>0</v>
      </c>
      <c r="G11" s="24">
        <f t="shared" si="10"/>
        <v>0</v>
      </c>
      <c r="H11" s="24">
        <f t="shared" si="10"/>
        <v>0</v>
      </c>
      <c r="I11" s="139">
        <f t="shared" si="10"/>
        <v>0</v>
      </c>
      <c r="J11" s="25"/>
      <c r="K11" s="26">
        <v>0</v>
      </c>
      <c r="L11" s="27">
        <v>0</v>
      </c>
      <c r="M11" s="27">
        <v>0</v>
      </c>
      <c r="N11" s="27">
        <v>0</v>
      </c>
      <c r="O11" s="27">
        <v>0</v>
      </c>
      <c r="P11" s="48">
        <f t="shared" si="2"/>
        <v>0</v>
      </c>
      <c r="Q11" s="128"/>
      <c r="R11" s="30">
        <f t="shared" si="6"/>
        <v>0</v>
      </c>
      <c r="S11" s="128"/>
      <c r="T11" s="31">
        <f t="shared" si="7"/>
        <v>0</v>
      </c>
      <c r="U11" s="129">
        <f t="shared" si="8"/>
        <v>0</v>
      </c>
      <c r="W11" s="39">
        <f>+W12+W13</f>
        <v>0</v>
      </c>
      <c r="X11" s="40">
        <f t="shared" ref="X11:Y11" si="11">+X12+X13</f>
        <v>0</v>
      </c>
      <c r="Y11" s="41">
        <f t="shared" si="11"/>
        <v>0</v>
      </c>
    </row>
    <row r="12" spans="2:26" hidden="1" x14ac:dyDescent="0.25">
      <c r="B12" s="36"/>
      <c r="C12" s="42" t="s">
        <v>65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4">
        <v>0</v>
      </c>
      <c r="K12" s="45">
        <v>0</v>
      </c>
      <c r="L12" s="46">
        <v>0</v>
      </c>
      <c r="M12" s="46">
        <v>0</v>
      </c>
      <c r="N12" s="46">
        <v>0</v>
      </c>
      <c r="O12" s="46">
        <v>0</v>
      </c>
      <c r="P12" s="48">
        <f t="shared" si="2"/>
        <v>0</v>
      </c>
      <c r="Q12" s="96"/>
      <c r="R12" s="30">
        <f t="shared" si="6"/>
        <v>0</v>
      </c>
      <c r="S12" s="96"/>
      <c r="T12" s="49">
        <f t="shared" si="7"/>
        <v>0</v>
      </c>
      <c r="U12" s="129">
        <f t="shared" si="8"/>
        <v>0</v>
      </c>
      <c r="W12" s="51">
        <f>+G12*$Z$1</f>
        <v>0</v>
      </c>
      <c r="X12" s="43">
        <f>+W12*$Z$1</f>
        <v>0</v>
      </c>
      <c r="Y12" s="44">
        <f>+X12*$Z$1</f>
        <v>0</v>
      </c>
    </row>
    <row r="13" spans="2:26" hidden="1" x14ac:dyDescent="0.25">
      <c r="B13" s="36"/>
      <c r="C13" s="42" t="s">
        <v>66</v>
      </c>
      <c r="D13" s="43">
        <v>0</v>
      </c>
      <c r="E13" s="43">
        <v>0</v>
      </c>
      <c r="F13" s="43">
        <v>0</v>
      </c>
      <c r="G13" s="43">
        <v>0</v>
      </c>
      <c r="H13" s="53">
        <v>0</v>
      </c>
      <c r="I13" s="54">
        <v>0</v>
      </c>
      <c r="K13" s="45">
        <v>0</v>
      </c>
      <c r="L13" s="46">
        <v>0</v>
      </c>
      <c r="M13" s="46">
        <v>0</v>
      </c>
      <c r="N13" s="46">
        <v>0</v>
      </c>
      <c r="O13" s="46">
        <v>0</v>
      </c>
      <c r="P13" s="48">
        <f t="shared" si="2"/>
        <v>0</v>
      </c>
      <c r="Q13" s="96"/>
      <c r="R13" s="30">
        <f t="shared" si="6"/>
        <v>0</v>
      </c>
      <c r="S13" s="96"/>
      <c r="T13" s="49">
        <f t="shared" si="7"/>
        <v>0</v>
      </c>
      <c r="U13" s="129">
        <f t="shared" si="8"/>
        <v>0</v>
      </c>
      <c r="W13" s="51">
        <f>+G13*$Z$1</f>
        <v>0</v>
      </c>
      <c r="X13" s="43">
        <f>+W13*$Z$1</f>
        <v>0</v>
      </c>
      <c r="Y13" s="44">
        <f>+X13*$Z$1</f>
        <v>0</v>
      </c>
    </row>
    <row r="14" spans="2:26" s="1" customFormat="1" ht="14.25" x14ac:dyDescent="0.2">
      <c r="B14" s="36" t="s">
        <v>27</v>
      </c>
      <c r="C14" s="52" t="s">
        <v>28</v>
      </c>
      <c r="D14" s="24">
        <f t="shared" ref="D14:I14" si="12">+D15+D16+D17+D18+D19</f>
        <v>3266045</v>
      </c>
      <c r="E14" s="24">
        <f t="shared" si="12"/>
        <v>2631685</v>
      </c>
      <c r="F14" s="24">
        <f t="shared" si="12"/>
        <v>4212586</v>
      </c>
      <c r="G14" s="24">
        <f t="shared" si="12"/>
        <v>8984212</v>
      </c>
      <c r="H14" s="24">
        <f t="shared" si="12"/>
        <v>4886478</v>
      </c>
      <c r="I14" s="139">
        <f t="shared" si="12"/>
        <v>5156563.47095</v>
      </c>
      <c r="J14" s="25"/>
      <c r="K14" s="26">
        <f t="shared" si="5"/>
        <v>-0.19422879966442594</v>
      </c>
      <c r="L14" s="27">
        <f t="shared" si="1"/>
        <v>0.60071817105770642</v>
      </c>
      <c r="M14" s="28"/>
      <c r="N14" s="27">
        <f t="shared" si="1"/>
        <v>-0.45610388534909907</v>
      </c>
      <c r="O14" s="27">
        <f t="shared" si="1"/>
        <v>5.5272012060629351E-2</v>
      </c>
      <c r="P14" s="48">
        <f t="shared" si="2"/>
        <v>1.4143745262026833E-3</v>
      </c>
      <c r="Q14" s="128"/>
      <c r="R14" s="30">
        <f t="shared" si="6"/>
        <v>0.45080110003731966</v>
      </c>
      <c r="S14" s="128"/>
      <c r="T14" s="31">
        <f t="shared" si="7"/>
        <v>0.45221547456352235</v>
      </c>
      <c r="U14" s="38">
        <f t="shared" si="8"/>
        <v>-0.44938672551111697</v>
      </c>
      <c r="W14" s="39">
        <f>+W15+W16+W17+W18+W19</f>
        <v>-6033179.2610114999</v>
      </c>
      <c r="X14" s="40">
        <f t="shared" ref="X14:Y14" si="13">+X15+X16+X17+X18+X19</f>
        <v>7058819.7353834538</v>
      </c>
      <c r="Y14" s="41">
        <f t="shared" si="13"/>
        <v>-8258819.0903986404</v>
      </c>
    </row>
    <row r="15" spans="2:26" x14ac:dyDescent="0.25">
      <c r="B15" s="36"/>
      <c r="C15" s="42" t="s">
        <v>29</v>
      </c>
      <c r="D15" s="43">
        <v>2422175</v>
      </c>
      <c r="E15" s="43">
        <v>1690817</v>
      </c>
      <c r="F15" s="43">
        <v>1961196</v>
      </c>
      <c r="G15" s="43">
        <v>2944760</v>
      </c>
      <c r="H15" s="53">
        <v>3396585</v>
      </c>
      <c r="I15" s="54">
        <f>+'[1]Factor Lic.-FLUJOS-'!O40</f>
        <v>2615316</v>
      </c>
      <c r="K15" s="45">
        <f t="shared" si="5"/>
        <v>-0.30194267548793957</v>
      </c>
      <c r="L15" s="46">
        <f t="shared" si="1"/>
        <v>0.15991026823127519</v>
      </c>
      <c r="M15" s="47"/>
      <c r="N15" s="46">
        <f t="shared" si="1"/>
        <v>0.15343355655469376</v>
      </c>
      <c r="O15" s="46">
        <f t="shared" si="1"/>
        <v>-0.23001603080741392</v>
      </c>
      <c r="P15" s="146">
        <f t="shared" si="2"/>
        <v>-5.4653720377346136E-2</v>
      </c>
      <c r="Q15" s="96"/>
      <c r="R15" s="30">
        <f t="shared" si="6"/>
        <v>0.24579245124541735</v>
      </c>
      <c r="S15" s="96"/>
      <c r="T15" s="49">
        <f t="shared" si="7"/>
        <v>0.1911387308680712</v>
      </c>
      <c r="U15" s="50">
        <f t="shared" si="8"/>
        <v>-0.30044617162276349</v>
      </c>
      <c r="W15" s="51">
        <f>+I15*$Z$1</f>
        <v>-3059919.7199999997</v>
      </c>
      <c r="X15" s="43">
        <f t="shared" ref="X15:Y19" si="14">+W15*$Z$1</f>
        <v>3580106.0723999995</v>
      </c>
      <c r="Y15" s="44">
        <f t="shared" si="14"/>
        <v>-4188724.1047079992</v>
      </c>
    </row>
    <row r="16" spans="2:26" x14ac:dyDescent="0.25">
      <c r="B16" s="36"/>
      <c r="C16" s="42" t="s">
        <v>30</v>
      </c>
      <c r="D16" s="43">
        <v>500805</v>
      </c>
      <c r="E16" s="43">
        <v>514806</v>
      </c>
      <c r="F16" s="43">
        <v>540855</v>
      </c>
      <c r="G16" s="43">
        <v>738990</v>
      </c>
      <c r="H16" s="53">
        <v>1042345</v>
      </c>
      <c r="I16" s="54">
        <f>7940+'[1]Factor Lic.-FLUJOS-'!P47</f>
        <v>1113401.235475</v>
      </c>
      <c r="K16" s="45">
        <f t="shared" si="5"/>
        <v>2.7956989247311829E-2</v>
      </c>
      <c r="L16" s="46">
        <f t="shared" si="1"/>
        <v>5.0599643360799994E-2</v>
      </c>
      <c r="M16" s="46">
        <f t="shared" si="1"/>
        <v>0.36633663366336633</v>
      </c>
      <c r="N16" s="46">
        <f t="shared" si="1"/>
        <v>0.41049946548667776</v>
      </c>
      <c r="O16" s="46">
        <f t="shared" si="1"/>
        <v>6.8169594016376525E-2</v>
      </c>
      <c r="P16" s="48">
        <f t="shared" si="2"/>
        <v>0.18471246515490652</v>
      </c>
      <c r="Q16" s="96"/>
      <c r="R16" s="30">
        <f t="shared" si="6"/>
        <v>0.18715493388835283</v>
      </c>
      <c r="S16" s="96"/>
      <c r="T16" s="49">
        <f t="shared" si="7"/>
        <v>0.37186739904325938</v>
      </c>
      <c r="U16" s="129">
        <f t="shared" si="8"/>
        <v>-2.4424687334463069E-3</v>
      </c>
      <c r="W16" s="51">
        <f>+I16*$Z$1</f>
        <v>-1302679.4455057499</v>
      </c>
      <c r="X16" s="43">
        <f t="shared" si="14"/>
        <v>1524134.9512417272</v>
      </c>
      <c r="Y16" s="44">
        <f t="shared" si="14"/>
        <v>-1783237.8929528208</v>
      </c>
    </row>
    <row r="17" spans="2:25" x14ac:dyDescent="0.25">
      <c r="B17" s="36"/>
      <c r="C17" s="42" t="s">
        <v>67</v>
      </c>
      <c r="D17" s="43">
        <v>0</v>
      </c>
      <c r="E17" s="43">
        <v>163072</v>
      </c>
      <c r="F17" s="43">
        <v>158180</v>
      </c>
      <c r="G17" s="43">
        <v>147107</v>
      </c>
      <c r="H17" s="53">
        <v>136810</v>
      </c>
      <c r="I17" s="54">
        <f>127385+'[1]Factor Lic.-FLUJOS-'!P47</f>
        <v>1232846.235475</v>
      </c>
      <c r="K17" s="45">
        <v>0</v>
      </c>
      <c r="L17" s="46">
        <f t="shared" si="1"/>
        <v>-2.9999018838304553E-2</v>
      </c>
      <c r="M17" s="46">
        <f t="shared" si="1"/>
        <v>-7.0002528764698438E-2</v>
      </c>
      <c r="N17" s="46">
        <f t="shared" si="1"/>
        <v>-6.9996669091205721E-2</v>
      </c>
      <c r="O17" s="46">
        <f t="shared" si="1"/>
        <v>8.0113751587968718</v>
      </c>
      <c r="P17" s="48">
        <f t="shared" si="2"/>
        <v>1.5682753884205325</v>
      </c>
      <c r="Q17" s="96"/>
      <c r="R17" s="30">
        <f t="shared" si="6"/>
        <v>3.6019228647421198</v>
      </c>
      <c r="S17" s="96"/>
      <c r="T17" s="49">
        <f t="shared" si="7"/>
        <v>5.1701982531626527</v>
      </c>
      <c r="U17" s="50">
        <f t="shared" si="8"/>
        <v>-2.0336474763215873</v>
      </c>
      <c r="W17" s="51">
        <f>+I17*$Z$1</f>
        <v>-1442430.0955057498</v>
      </c>
      <c r="X17" s="43">
        <f t="shared" si="14"/>
        <v>1687643.2117417271</v>
      </c>
      <c r="Y17" s="44">
        <f t="shared" si="14"/>
        <v>-1974542.5577378205</v>
      </c>
    </row>
    <row r="18" spans="2:25" x14ac:dyDescent="0.25">
      <c r="B18" s="36"/>
      <c r="C18" s="42" t="s">
        <v>68</v>
      </c>
      <c r="D18" s="43">
        <v>343065</v>
      </c>
      <c r="E18" s="43">
        <v>262990</v>
      </c>
      <c r="F18" s="43">
        <v>1552355</v>
      </c>
      <c r="G18" s="43">
        <v>5153355</v>
      </c>
      <c r="H18" s="53">
        <v>310738</v>
      </c>
      <c r="I18" s="54">
        <v>195000</v>
      </c>
      <c r="K18" s="45">
        <f t="shared" si="5"/>
        <v>-0.23341057817031757</v>
      </c>
      <c r="L18" s="46">
        <f t="shared" si="1"/>
        <v>4.9027149321266972</v>
      </c>
      <c r="M18" s="46">
        <f t="shared" si="1"/>
        <v>2.3197013569705383</v>
      </c>
      <c r="N18" s="46">
        <f t="shared" si="1"/>
        <v>-0.93970180591090657</v>
      </c>
      <c r="O18" s="46">
        <f t="shared" si="1"/>
        <v>-0.37246168798151497</v>
      </c>
      <c r="P18" s="48">
        <f t="shared" si="2"/>
        <v>1.1353684434068994</v>
      </c>
      <c r="Q18" s="96"/>
      <c r="R18" s="30">
        <f t="shared" si="6"/>
        <v>2.4519669793278251</v>
      </c>
      <c r="S18" s="96"/>
      <c r="T18" s="49">
        <f t="shared" si="7"/>
        <v>3.5873354227347245</v>
      </c>
      <c r="U18" s="50">
        <f t="shared" si="8"/>
        <v>-1.3165985359209258</v>
      </c>
      <c r="W18" s="51">
        <f>+I18*$Z$1</f>
        <v>-228150</v>
      </c>
      <c r="X18" s="43">
        <f t="shared" si="14"/>
        <v>266935.5</v>
      </c>
      <c r="Y18" s="44">
        <f t="shared" si="14"/>
        <v>-312314.53499999997</v>
      </c>
    </row>
    <row r="19" spans="2:25" hidden="1" x14ac:dyDescent="0.25">
      <c r="B19" s="36"/>
      <c r="C19" s="42" t="s">
        <v>69</v>
      </c>
      <c r="D19" s="43">
        <v>0</v>
      </c>
      <c r="E19" s="43">
        <v>0</v>
      </c>
      <c r="F19" s="43">
        <v>0</v>
      </c>
      <c r="G19" s="43">
        <v>0</v>
      </c>
      <c r="H19" s="53">
        <v>0</v>
      </c>
      <c r="I19" s="54">
        <v>0</v>
      </c>
      <c r="K19" s="45">
        <v>0</v>
      </c>
      <c r="L19" s="46">
        <v>0</v>
      </c>
      <c r="M19" s="46">
        <v>0</v>
      </c>
      <c r="N19" s="46">
        <v>0</v>
      </c>
      <c r="O19" s="46">
        <v>0</v>
      </c>
      <c r="P19" s="48">
        <f t="shared" si="2"/>
        <v>0</v>
      </c>
      <c r="Q19" s="96"/>
      <c r="R19" s="30">
        <f t="shared" si="6"/>
        <v>0</v>
      </c>
      <c r="S19" s="96"/>
      <c r="T19" s="49">
        <f t="shared" si="7"/>
        <v>0</v>
      </c>
      <c r="U19" s="129">
        <f t="shared" si="8"/>
        <v>0</v>
      </c>
      <c r="W19" s="51">
        <f>+I19*$Z$1</f>
        <v>0</v>
      </c>
      <c r="X19" s="43">
        <f t="shared" si="14"/>
        <v>0</v>
      </c>
      <c r="Y19" s="44">
        <f t="shared" si="14"/>
        <v>0</v>
      </c>
    </row>
    <row r="20" spans="2:25" s="1" customFormat="1" ht="14.25" x14ac:dyDescent="0.2">
      <c r="B20" s="36" t="s">
        <v>31</v>
      </c>
      <c r="C20" s="52" t="s">
        <v>32</v>
      </c>
      <c r="D20" s="24">
        <f t="shared" ref="D20:I20" si="15">+D21+D22+D23+D24</f>
        <v>0</v>
      </c>
      <c r="E20" s="24">
        <f t="shared" si="15"/>
        <v>0</v>
      </c>
      <c r="F20" s="24">
        <f t="shared" si="15"/>
        <v>0</v>
      </c>
      <c r="G20" s="24">
        <f t="shared" si="15"/>
        <v>8438868</v>
      </c>
      <c r="H20" s="24">
        <f t="shared" si="15"/>
        <v>8438868</v>
      </c>
      <c r="I20" s="139">
        <f t="shared" si="15"/>
        <v>8628744</v>
      </c>
      <c r="J20" s="25"/>
      <c r="K20" s="26">
        <v>0</v>
      </c>
      <c r="L20" s="27">
        <v>0</v>
      </c>
      <c r="M20" s="27">
        <v>0</v>
      </c>
      <c r="N20" s="27">
        <f t="shared" si="1"/>
        <v>0</v>
      </c>
      <c r="O20" s="27">
        <f t="shared" si="1"/>
        <v>2.2500174193979573E-2</v>
      </c>
      <c r="P20" s="48">
        <f t="shared" si="2"/>
        <v>4.5000348387959146E-3</v>
      </c>
      <c r="Q20" s="128"/>
      <c r="R20" s="30">
        <f t="shared" si="6"/>
        <v>1.0062383800664973E-2</v>
      </c>
      <c r="S20" s="128"/>
      <c r="T20" s="31">
        <f t="shared" si="7"/>
        <v>1.4562418639460888E-2</v>
      </c>
      <c r="U20" s="38">
        <f t="shared" si="8"/>
        <v>-5.5623489618690583E-3</v>
      </c>
      <c r="W20" s="39">
        <f>+W21+W22+W23+W24</f>
        <v>-10095630.479999999</v>
      </c>
      <c r="X20" s="40">
        <f t="shared" ref="X20:Y20" si="16">+X21+X22+X23+X24</f>
        <v>11811887.661599997</v>
      </c>
      <c r="Y20" s="41">
        <f t="shared" si="16"/>
        <v>-13819908.564071996</v>
      </c>
    </row>
    <row r="21" spans="2:25" hidden="1" x14ac:dyDescent="0.25">
      <c r="B21" s="36"/>
      <c r="C21" s="42" t="s">
        <v>70</v>
      </c>
      <c r="D21" s="43">
        <v>0</v>
      </c>
      <c r="E21" s="43">
        <v>0</v>
      </c>
      <c r="F21" s="43">
        <v>0</v>
      </c>
      <c r="G21" s="43">
        <v>0</v>
      </c>
      <c r="H21" s="53">
        <v>0</v>
      </c>
      <c r="I21" s="54">
        <v>0</v>
      </c>
      <c r="K21" s="45">
        <v>0</v>
      </c>
      <c r="L21" s="46">
        <v>0</v>
      </c>
      <c r="M21" s="46">
        <v>0</v>
      </c>
      <c r="N21" s="46">
        <v>0</v>
      </c>
      <c r="O21" s="46">
        <v>0</v>
      </c>
      <c r="P21" s="48">
        <f t="shared" si="2"/>
        <v>0</v>
      </c>
      <c r="Q21" s="96"/>
      <c r="R21" s="30">
        <f t="shared" si="6"/>
        <v>0</v>
      </c>
      <c r="S21" s="96"/>
      <c r="T21" s="49">
        <f t="shared" si="7"/>
        <v>0</v>
      </c>
      <c r="U21" s="129">
        <f t="shared" si="8"/>
        <v>0</v>
      </c>
      <c r="W21" s="51">
        <f>+I21*$Z$1</f>
        <v>0</v>
      </c>
      <c r="X21" s="43">
        <f t="shared" ref="X21:Y24" si="17">+W21*$Z$1</f>
        <v>0</v>
      </c>
      <c r="Y21" s="44">
        <f t="shared" si="17"/>
        <v>0</v>
      </c>
    </row>
    <row r="22" spans="2:25" hidden="1" x14ac:dyDescent="0.25">
      <c r="B22" s="36"/>
      <c r="C22" s="42" t="s">
        <v>33</v>
      </c>
      <c r="D22" s="43">
        <v>0</v>
      </c>
      <c r="E22" s="43">
        <v>0</v>
      </c>
      <c r="F22" s="43">
        <v>0</v>
      </c>
      <c r="G22" s="43">
        <v>0</v>
      </c>
      <c r="H22" s="53">
        <v>0</v>
      </c>
      <c r="I22" s="54">
        <v>0</v>
      </c>
      <c r="K22" s="45">
        <v>0</v>
      </c>
      <c r="L22" s="46">
        <v>0</v>
      </c>
      <c r="M22" s="46">
        <v>0</v>
      </c>
      <c r="N22" s="46">
        <v>0</v>
      </c>
      <c r="O22" s="46">
        <v>0</v>
      </c>
      <c r="P22" s="48">
        <f t="shared" si="2"/>
        <v>0</v>
      </c>
      <c r="Q22" s="96"/>
      <c r="R22" s="30">
        <f t="shared" si="6"/>
        <v>0</v>
      </c>
      <c r="S22" s="96"/>
      <c r="T22" s="49">
        <f t="shared" si="7"/>
        <v>0</v>
      </c>
      <c r="U22" s="129">
        <f t="shared" si="8"/>
        <v>0</v>
      </c>
      <c r="W22" s="51">
        <f>+I22*$Z$1</f>
        <v>0</v>
      </c>
      <c r="X22" s="43">
        <f t="shared" si="17"/>
        <v>0</v>
      </c>
      <c r="Y22" s="44">
        <f t="shared" si="17"/>
        <v>0</v>
      </c>
    </row>
    <row r="23" spans="2:25" hidden="1" x14ac:dyDescent="0.25">
      <c r="B23" s="36"/>
      <c r="C23" s="42" t="s">
        <v>71</v>
      </c>
      <c r="D23" s="43">
        <v>0</v>
      </c>
      <c r="E23" s="43">
        <v>0</v>
      </c>
      <c r="F23" s="43">
        <v>0</v>
      </c>
      <c r="G23" s="43">
        <v>0</v>
      </c>
      <c r="H23" s="53">
        <v>0</v>
      </c>
      <c r="I23" s="54">
        <v>0</v>
      </c>
      <c r="K23" s="45">
        <v>0</v>
      </c>
      <c r="L23" s="46">
        <v>0</v>
      </c>
      <c r="M23" s="46">
        <v>0</v>
      </c>
      <c r="N23" s="46">
        <v>0</v>
      </c>
      <c r="O23" s="46">
        <v>0</v>
      </c>
      <c r="P23" s="48">
        <f t="shared" si="2"/>
        <v>0</v>
      </c>
      <c r="Q23" s="96"/>
      <c r="R23" s="30">
        <f t="shared" si="6"/>
        <v>0</v>
      </c>
      <c r="S23" s="96"/>
      <c r="T23" s="49">
        <f t="shared" si="7"/>
        <v>0</v>
      </c>
      <c r="U23" s="129">
        <f t="shared" si="8"/>
        <v>0</v>
      </c>
      <c r="W23" s="51">
        <f>+I23*$Z$1</f>
        <v>0</v>
      </c>
      <c r="X23" s="43">
        <f t="shared" si="17"/>
        <v>0</v>
      </c>
      <c r="Y23" s="44">
        <f t="shared" si="17"/>
        <v>0</v>
      </c>
    </row>
    <row r="24" spans="2:25" ht="15.75" thickBot="1" x14ac:dyDescent="0.3">
      <c r="B24" s="55"/>
      <c r="C24" s="56" t="s">
        <v>34</v>
      </c>
      <c r="D24" s="57">
        <v>0</v>
      </c>
      <c r="E24" s="57">
        <v>0</v>
      </c>
      <c r="F24" s="57">
        <v>0</v>
      </c>
      <c r="G24" s="57">
        <v>8438868</v>
      </c>
      <c r="H24" s="57">
        <f t="shared" ref="H24" si="18">+G24</f>
        <v>8438868</v>
      </c>
      <c r="I24" s="58">
        <v>8628744</v>
      </c>
      <c r="K24" s="59">
        <v>0</v>
      </c>
      <c r="L24" s="60">
        <v>0</v>
      </c>
      <c r="M24" s="60">
        <v>0</v>
      </c>
      <c r="N24" s="60">
        <f t="shared" si="5"/>
        <v>0</v>
      </c>
      <c r="O24" s="47"/>
      <c r="P24" s="61">
        <f t="shared" si="2"/>
        <v>0</v>
      </c>
      <c r="Q24" s="96"/>
      <c r="R24" s="62">
        <f t="shared" si="6"/>
        <v>0</v>
      </c>
      <c r="S24" s="96"/>
      <c r="T24" s="49">
        <f t="shared" si="7"/>
        <v>0</v>
      </c>
      <c r="U24" s="129">
        <f t="shared" si="8"/>
        <v>0</v>
      </c>
      <c r="W24" s="63">
        <f>+I24*$Z$1</f>
        <v>-10095630.479999999</v>
      </c>
      <c r="X24" s="57">
        <f t="shared" si="17"/>
        <v>11811887.661599997</v>
      </c>
      <c r="Y24" s="58">
        <f t="shared" si="17"/>
        <v>-13819908.564071996</v>
      </c>
    </row>
    <row r="25" spans="2:25" x14ac:dyDescent="0.25">
      <c r="B25" s="140"/>
      <c r="C25" s="141"/>
      <c r="D25" s="142"/>
      <c r="E25" s="142"/>
      <c r="F25" s="142"/>
      <c r="G25" s="142"/>
      <c r="H25" s="142"/>
      <c r="I25" s="143"/>
      <c r="K25" s="125"/>
      <c r="L25" s="96"/>
      <c r="M25" s="96"/>
      <c r="N25" s="96"/>
      <c r="O25" s="96"/>
      <c r="P25" s="128"/>
      <c r="Q25" s="96"/>
      <c r="R25" s="130"/>
      <c r="S25" s="96"/>
      <c r="T25" s="96"/>
      <c r="U25" s="126"/>
    </row>
    <row r="26" spans="2:25" x14ac:dyDescent="0.25">
      <c r="B26" s="140"/>
      <c r="C26" s="141"/>
      <c r="D26" s="142"/>
      <c r="E26" s="142"/>
      <c r="F26" s="142"/>
      <c r="G26" s="142"/>
      <c r="H26" s="142"/>
      <c r="I26" s="143"/>
      <c r="K26" s="125"/>
      <c r="L26" s="96"/>
      <c r="M26" s="96"/>
      <c r="N26" s="96"/>
      <c r="O26" s="96"/>
      <c r="P26" s="128"/>
      <c r="Q26" s="96"/>
      <c r="R26" s="130"/>
      <c r="S26" s="96"/>
      <c r="T26" s="96"/>
      <c r="U26" s="126"/>
    </row>
    <row r="27" spans="2:25" ht="15.75" thickBot="1" x14ac:dyDescent="0.3">
      <c r="B27" s="140"/>
      <c r="C27" s="141"/>
      <c r="D27" s="142"/>
      <c r="E27" s="142"/>
      <c r="F27" s="142"/>
      <c r="G27" s="142"/>
      <c r="H27" s="142"/>
      <c r="I27" s="143"/>
      <c r="K27" s="125"/>
      <c r="L27" s="96"/>
      <c r="M27" s="96"/>
      <c r="N27" s="96"/>
      <c r="O27" s="96"/>
      <c r="P27" s="128"/>
      <c r="Q27" s="96"/>
      <c r="R27" s="130"/>
      <c r="S27" s="96"/>
      <c r="T27" s="96"/>
      <c r="U27" s="126"/>
    </row>
    <row r="28" spans="2:25" ht="43.5" thickBot="1" x14ac:dyDescent="0.3">
      <c r="B28" s="65">
        <v>2</v>
      </c>
      <c r="C28" s="66" t="s">
        <v>7</v>
      </c>
      <c r="D28" s="66" t="s">
        <v>8</v>
      </c>
      <c r="E28" s="66" t="s">
        <v>9</v>
      </c>
      <c r="F28" s="66" t="s">
        <v>10</v>
      </c>
      <c r="G28" s="66" t="s">
        <v>11</v>
      </c>
      <c r="H28" s="66" t="s">
        <v>12</v>
      </c>
      <c r="I28" s="67" t="s">
        <v>13</v>
      </c>
      <c r="J28" s="68"/>
      <c r="K28" s="14" t="s">
        <v>14</v>
      </c>
      <c r="L28" s="15" t="s">
        <v>15</v>
      </c>
      <c r="M28" s="15" t="s">
        <v>16</v>
      </c>
      <c r="N28" s="15" t="s">
        <v>17</v>
      </c>
      <c r="O28" s="15" t="s">
        <v>18</v>
      </c>
      <c r="P28" s="13" t="s">
        <v>60</v>
      </c>
      <c r="Q28" s="127"/>
      <c r="R28" s="17" t="s">
        <v>19</v>
      </c>
      <c r="S28" s="127"/>
      <c r="T28" s="19" t="s">
        <v>20</v>
      </c>
      <c r="U28" s="21" t="s">
        <v>21</v>
      </c>
      <c r="V28" s="16"/>
      <c r="W28" s="10">
        <v>2026</v>
      </c>
      <c r="X28" s="11">
        <v>2027</v>
      </c>
      <c r="Y28" s="18">
        <v>2028</v>
      </c>
    </row>
    <row r="29" spans="2:25" s="76" customFormat="1" ht="14.25" x14ac:dyDescent="0.2">
      <c r="B29" s="69">
        <v>2</v>
      </c>
      <c r="C29" s="70" t="s">
        <v>35</v>
      </c>
      <c r="D29" s="71">
        <f>+D30+D32+D42</f>
        <v>169968854.30769232</v>
      </c>
      <c r="E29" s="71">
        <f t="shared" ref="E29:I29" si="19">+E30+E32+E42</f>
        <v>172452573.69230771</v>
      </c>
      <c r="F29" s="71">
        <f t="shared" si="19"/>
        <v>210958696</v>
      </c>
      <c r="G29" s="71">
        <f t="shared" si="19"/>
        <v>220764564.06896552</v>
      </c>
      <c r="H29" s="71">
        <f t="shared" si="19"/>
        <v>351057737.96551728</v>
      </c>
      <c r="I29" s="144">
        <f t="shared" si="19"/>
        <v>442993905.74503332</v>
      </c>
      <c r="J29" s="72"/>
      <c r="K29" s="26">
        <f>(E29-D29)/D29</f>
        <v>1.4612791235970491E-2</v>
      </c>
      <c r="L29" s="26">
        <f t="shared" ref="L29:O41" si="20">(F29-E29)/E29</f>
        <v>0.22328528640225137</v>
      </c>
      <c r="M29" s="26">
        <f t="shared" si="20"/>
        <v>4.6482407480208945E-2</v>
      </c>
      <c r="N29" s="28"/>
      <c r="O29" s="26">
        <f t="shared" si="20"/>
        <v>0.2618833252681258</v>
      </c>
      <c r="P29" s="29">
        <f t="shared" ref="P29:P43" si="21">AVERAGE(K29:O29)</f>
        <v>0.13656595259663915</v>
      </c>
      <c r="Q29" s="131"/>
      <c r="R29" s="30">
        <f>STDEV(K29:O29)</f>
        <v>0.12411326200367508</v>
      </c>
      <c r="S29" s="131"/>
      <c r="T29" s="74">
        <f t="shared" ref="T29:T43" si="22">+P29+R29</f>
        <v>0.26067921460031424</v>
      </c>
      <c r="U29" s="132">
        <f t="shared" ref="U29:U43" si="23">+P29-R29</f>
        <v>1.2452690592964069E-2</v>
      </c>
      <c r="V29" s="73"/>
      <c r="W29" s="75">
        <f>+W30+W32+W42</f>
        <v>474169763.00885308</v>
      </c>
      <c r="X29" s="75">
        <f t="shared" ref="X29:Y29" si="24">+X30+X32+X42</f>
        <v>538925208.38667965</v>
      </c>
      <c r="Y29" s="75">
        <f t="shared" si="24"/>
        <v>612524042.84834886</v>
      </c>
    </row>
    <row r="30" spans="2:25" s="1" customFormat="1" ht="14.25" x14ac:dyDescent="0.2">
      <c r="B30" s="36" t="s">
        <v>36</v>
      </c>
      <c r="C30" s="124" t="s">
        <v>37</v>
      </c>
      <c r="D30" s="24">
        <f t="shared" ref="D30:I30" si="25">+D31</f>
        <v>78784132.307692319</v>
      </c>
      <c r="E30" s="24">
        <f t="shared" si="25"/>
        <v>71525567.692307696</v>
      </c>
      <c r="F30" s="24">
        <f t="shared" si="25"/>
        <v>106383984</v>
      </c>
      <c r="G30" s="24">
        <f t="shared" si="25"/>
        <v>122433182.06896552</v>
      </c>
      <c r="H30" s="24">
        <f t="shared" si="25"/>
        <v>136264988.96551725</v>
      </c>
      <c r="I30" s="139">
        <f t="shared" si="25"/>
        <v>176244033.53333333</v>
      </c>
      <c r="J30" s="25"/>
      <c r="K30" s="85">
        <f t="shared" ref="K30:K41" si="26">(E30-D30)/D30</f>
        <v>-9.2132316530900121E-2</v>
      </c>
      <c r="L30" s="28"/>
      <c r="M30" s="27">
        <f t="shared" si="20"/>
        <v>0.15086103627182756</v>
      </c>
      <c r="N30" s="27">
        <f t="shared" si="20"/>
        <v>0.11297433149095475</v>
      </c>
      <c r="O30" s="27">
        <f t="shared" si="20"/>
        <v>0.29339190404905136</v>
      </c>
      <c r="P30" s="29">
        <f t="shared" si="21"/>
        <v>0.11627373882023338</v>
      </c>
      <c r="Q30" s="128"/>
      <c r="R30" s="30">
        <f t="shared" ref="R30:R43" si="27">STDEV(K30:O30)</f>
        <v>0.15917610330990029</v>
      </c>
      <c r="S30" s="128"/>
      <c r="T30" s="74">
        <f t="shared" si="22"/>
        <v>0.27544984213013368</v>
      </c>
      <c r="U30" s="38">
        <f t="shared" si="23"/>
        <v>-4.2902364489666903E-2</v>
      </c>
      <c r="W30" s="77">
        <f>+W31</f>
        <v>200312967.86228701</v>
      </c>
      <c r="X30" s="77">
        <f t="shared" ref="X30:Y30" si="28">+X31</f>
        <v>227668899.1358602</v>
      </c>
      <c r="Y30" s="77">
        <f t="shared" si="28"/>
        <v>258760719.2229771</v>
      </c>
    </row>
    <row r="31" spans="2:25" x14ac:dyDescent="0.25">
      <c r="B31" s="36"/>
      <c r="C31" s="78" t="s">
        <v>38</v>
      </c>
      <c r="D31" s="79">
        <f>+'[1]Factor Lic.-FLUJOS-'!E26</f>
        <v>78784132.307692319</v>
      </c>
      <c r="E31" s="79">
        <f>+'[1]Factor Lic.-FLUJOS-'!E27</f>
        <v>71525567.692307696</v>
      </c>
      <c r="F31" s="79">
        <f>+'[1]Factor Lic.-FLUJOS-'!E28</f>
        <v>106383984</v>
      </c>
      <c r="G31" s="79">
        <f>+'[1]Factor Lic.-FLUJOS-'!E29</f>
        <v>122433182.06896552</v>
      </c>
      <c r="H31" s="79">
        <f>+'[1]Factor Lic.-FLUJOS-'!E30</f>
        <v>136264988.96551725</v>
      </c>
      <c r="I31" s="145">
        <f>+'[1]Factor Lic.-FLUJOS-'!K22</f>
        <v>176244033.53333333</v>
      </c>
      <c r="K31" s="147">
        <f t="shared" si="26"/>
        <v>-9.2132316530900121E-2</v>
      </c>
      <c r="L31" s="47"/>
      <c r="M31" s="46">
        <f t="shared" si="20"/>
        <v>0.15086103627182756</v>
      </c>
      <c r="N31" s="46">
        <f t="shared" si="20"/>
        <v>0.11297433149095475</v>
      </c>
      <c r="O31" s="46">
        <f t="shared" si="20"/>
        <v>0.29339190404905136</v>
      </c>
      <c r="P31" s="29">
        <f t="shared" si="21"/>
        <v>0.11627373882023338</v>
      </c>
      <c r="Q31" s="96"/>
      <c r="R31" s="30">
        <f t="shared" si="27"/>
        <v>0.15917610330990029</v>
      </c>
      <c r="S31" s="96"/>
      <c r="T31" s="49">
        <f t="shared" si="22"/>
        <v>0.27544984213013368</v>
      </c>
      <c r="U31" s="50">
        <f t="shared" si="23"/>
        <v>-4.2902364489666903E-2</v>
      </c>
      <c r="V31" s="80"/>
      <c r="W31" s="81">
        <f>+I31*Z2</f>
        <v>200312967.86228701</v>
      </c>
      <c r="X31" s="82">
        <f>+W31*$Z$2</f>
        <v>227668899.1358602</v>
      </c>
      <c r="Y31" s="83">
        <f>+X31*$Z$2</f>
        <v>258760719.2229771</v>
      </c>
    </row>
    <row r="32" spans="2:25" s="1" customFormat="1" ht="14.25" x14ac:dyDescent="0.2">
      <c r="B32" s="36" t="s">
        <v>39</v>
      </c>
      <c r="C32" s="124" t="s">
        <v>40</v>
      </c>
      <c r="D32" s="24">
        <f>+D33+D39+D40+D41</f>
        <v>91184722</v>
      </c>
      <c r="E32" s="24">
        <f t="shared" ref="E32:I32" si="29">+E33+E39+E40+E41</f>
        <v>100927006</v>
      </c>
      <c r="F32" s="24">
        <f t="shared" si="29"/>
        <v>104574712</v>
      </c>
      <c r="G32" s="24">
        <f t="shared" si="29"/>
        <v>98331382</v>
      </c>
      <c r="H32" s="24">
        <f t="shared" si="29"/>
        <v>214792749</v>
      </c>
      <c r="I32" s="139">
        <f t="shared" si="29"/>
        <v>266749872.21169999</v>
      </c>
      <c r="J32" s="25"/>
      <c r="K32" s="26">
        <f t="shared" si="26"/>
        <v>0.10684118771563508</v>
      </c>
      <c r="L32" s="27">
        <f t="shared" si="20"/>
        <v>3.6142021294082574E-2</v>
      </c>
      <c r="M32" s="149">
        <f t="shared" si="20"/>
        <v>-5.9702100829118226E-2</v>
      </c>
      <c r="N32" s="28"/>
      <c r="O32" s="27">
        <f t="shared" si="20"/>
        <v>0.24189421409053241</v>
      </c>
      <c r="P32" s="29">
        <f t="shared" si="21"/>
        <v>8.1293830567782971E-2</v>
      </c>
      <c r="Q32" s="128"/>
      <c r="R32" s="30">
        <f t="shared" si="27"/>
        <v>0.12696940470846038</v>
      </c>
      <c r="S32" s="128"/>
      <c r="T32" s="74">
        <f t="shared" si="22"/>
        <v>0.20826323527624335</v>
      </c>
      <c r="U32" s="38">
        <f t="shared" si="23"/>
        <v>-4.5675574140677411E-2</v>
      </c>
      <c r="V32" s="84"/>
      <c r="W32" s="77">
        <f>+W33+W39+W40+W41</f>
        <v>273856795.14656603</v>
      </c>
      <c r="X32" s="77">
        <f t="shared" ref="X32:Y32" si="30">+X33+X39+X40+X41</f>
        <v>311256309.25081944</v>
      </c>
      <c r="Y32" s="77">
        <f t="shared" si="30"/>
        <v>353763323.62537169</v>
      </c>
    </row>
    <row r="33" spans="2:29" s="1" customFormat="1" ht="14.25" x14ac:dyDescent="0.2">
      <c r="B33" s="36" t="s">
        <v>41</v>
      </c>
      <c r="C33" s="52" t="s">
        <v>72</v>
      </c>
      <c r="D33" s="40">
        <f>+D34+D35+D36+D37+D38</f>
        <v>5343276</v>
      </c>
      <c r="E33" s="40">
        <f t="shared" ref="E33:I33" si="31">+E34+E35+E36+E37+E38</f>
        <v>5519834</v>
      </c>
      <c r="F33" s="40">
        <f t="shared" si="31"/>
        <v>7657715</v>
      </c>
      <c r="G33" s="40">
        <f t="shared" si="31"/>
        <v>7321798</v>
      </c>
      <c r="H33" s="40">
        <f t="shared" si="31"/>
        <v>77377406</v>
      </c>
      <c r="I33" s="41">
        <f t="shared" si="31"/>
        <v>151571497.21169999</v>
      </c>
      <c r="J33" s="25"/>
      <c r="K33" s="26">
        <f t="shared" si="26"/>
        <v>3.304302454149851E-2</v>
      </c>
      <c r="L33" s="27">
        <f t="shared" si="20"/>
        <v>0.38730892994245841</v>
      </c>
      <c r="M33" s="149">
        <f t="shared" si="20"/>
        <v>-4.3866479752772206E-2</v>
      </c>
      <c r="N33" s="28"/>
      <c r="O33" s="27">
        <f t="shared" si="20"/>
        <v>0.95885989266298222</v>
      </c>
      <c r="P33" s="29">
        <f t="shared" si="21"/>
        <v>0.33383634184854172</v>
      </c>
      <c r="Q33" s="128"/>
      <c r="R33" s="30">
        <f t="shared" si="27"/>
        <v>0.45703748859086046</v>
      </c>
      <c r="S33" s="128"/>
      <c r="T33" s="85">
        <f t="shared" si="22"/>
        <v>0.79087383043940218</v>
      </c>
      <c r="U33" s="38">
        <f t="shared" si="23"/>
        <v>-0.12320114674231875</v>
      </c>
      <c r="W33" s="77">
        <f>+W34+W35+W36+W37+W38</f>
        <v>172271003.11491466</v>
      </c>
      <c r="X33" s="77">
        <f t="shared" ref="X33:Y33" si="32">+X34+X35+X36+X37+X38</f>
        <v>195797356.76008156</v>
      </c>
      <c r="Y33" s="77">
        <f t="shared" si="32"/>
        <v>222536609.30192608</v>
      </c>
    </row>
    <row r="34" spans="2:29" x14ac:dyDescent="0.25">
      <c r="B34" s="36"/>
      <c r="C34" s="42" t="s">
        <v>42</v>
      </c>
      <c r="D34" s="43">
        <v>3389512</v>
      </c>
      <c r="E34" s="43">
        <v>2752339</v>
      </c>
      <c r="F34" s="43">
        <v>2366095</v>
      </c>
      <c r="G34" s="43">
        <v>2235287</v>
      </c>
      <c r="H34" s="43">
        <v>43839479</v>
      </c>
      <c r="I34" s="44">
        <f>+'[1]Factor Lic.-FLUJOS-'!P39</f>
        <v>45956002</v>
      </c>
      <c r="K34" s="45">
        <f t="shared" si="26"/>
        <v>-0.18798369794825923</v>
      </c>
      <c r="L34" s="46">
        <f t="shared" si="20"/>
        <v>-0.14033300403765669</v>
      </c>
      <c r="M34" s="148">
        <f t="shared" si="20"/>
        <v>-5.5284339808841149E-2</v>
      </c>
      <c r="N34" s="47"/>
      <c r="O34" s="46">
        <f t="shared" si="20"/>
        <v>4.8278926854947342E-2</v>
      </c>
      <c r="P34" s="146">
        <f t="shared" si="21"/>
        <v>-8.3830528734952434E-2</v>
      </c>
      <c r="Q34" s="96"/>
      <c r="R34" s="30">
        <f t="shared" si="27"/>
        <v>0.10377572858649457</v>
      </c>
      <c r="S34" s="96"/>
      <c r="T34" s="49">
        <f t="shared" si="22"/>
        <v>1.9945199851542139E-2</v>
      </c>
      <c r="U34" s="50">
        <f t="shared" si="23"/>
        <v>-0.18760625732144701</v>
      </c>
      <c r="W34" s="81">
        <f>+I34*$Z$2</f>
        <v>52232027.190663055</v>
      </c>
      <c r="X34" s="82">
        <f t="shared" ref="X34:Y43" si="33">+W34*$Z$2</f>
        <v>59365143.740009516</v>
      </c>
      <c r="Y34" s="83">
        <f t="shared" si="33"/>
        <v>67472401.145900324</v>
      </c>
    </row>
    <row r="35" spans="2:29" x14ac:dyDescent="0.25">
      <c r="B35" s="36"/>
      <c r="C35" s="42" t="s">
        <v>33</v>
      </c>
      <c r="D35" s="43">
        <v>1669815</v>
      </c>
      <c r="E35" s="43">
        <v>1716497</v>
      </c>
      <c r="F35" s="43">
        <v>1929807</v>
      </c>
      <c r="G35" s="43">
        <v>2488355</v>
      </c>
      <c r="H35" s="43">
        <v>11459290</v>
      </c>
      <c r="I35" s="44">
        <f>+'[1]Factor Lic.-FLUJOS-'!P6*3+(18990*3)</f>
        <v>10467721.2117</v>
      </c>
      <c r="K35" s="45">
        <f t="shared" si="26"/>
        <v>2.795639037857487E-2</v>
      </c>
      <c r="L35" s="46">
        <f t="shared" si="20"/>
        <v>0.12427053469944893</v>
      </c>
      <c r="M35" s="46">
        <f t="shared" si="20"/>
        <v>0.28943205201349148</v>
      </c>
      <c r="N35" s="47"/>
      <c r="O35" s="148">
        <f t="shared" si="20"/>
        <v>-8.652968799114083E-2</v>
      </c>
      <c r="P35" s="29">
        <f t="shared" si="21"/>
        <v>8.8782322275093611E-2</v>
      </c>
      <c r="Q35" s="96"/>
      <c r="R35" s="30">
        <f t="shared" si="27"/>
        <v>0.15911612342336284</v>
      </c>
      <c r="S35" s="96"/>
      <c r="T35" s="49">
        <f t="shared" si="22"/>
        <v>0.24789844569845645</v>
      </c>
      <c r="U35" s="50">
        <f t="shared" si="23"/>
        <v>-7.0333801148269232E-2</v>
      </c>
      <c r="W35" s="81">
        <f>+I35*$Z$2</f>
        <v>11897255.530491857</v>
      </c>
      <c r="X35" s="82">
        <f t="shared" si="33"/>
        <v>13522015.56529911</v>
      </c>
      <c r="Y35" s="83">
        <f t="shared" si="33"/>
        <v>15368662.502000766</v>
      </c>
    </row>
    <row r="36" spans="2:29" ht="18" customHeight="1" x14ac:dyDescent="0.25">
      <c r="B36" s="36"/>
      <c r="C36" s="42" t="s">
        <v>43</v>
      </c>
      <c r="D36" s="43">
        <v>136850</v>
      </c>
      <c r="E36" s="43">
        <v>849699</v>
      </c>
      <c r="F36" s="43">
        <v>3153169</v>
      </c>
      <c r="G36" s="43">
        <v>2539908</v>
      </c>
      <c r="H36" s="43">
        <v>21445040</v>
      </c>
      <c r="I36" s="44">
        <v>36924083</v>
      </c>
      <c r="K36" s="45">
        <f t="shared" si="26"/>
        <v>5.2089806357325541</v>
      </c>
      <c r="L36" s="46">
        <f t="shared" si="20"/>
        <v>2.7109246921556927</v>
      </c>
      <c r="M36" s="148">
        <f t="shared" si="20"/>
        <v>-0.19449036826126351</v>
      </c>
      <c r="N36" s="47"/>
      <c r="O36" s="46">
        <f t="shared" si="20"/>
        <v>0.72180061216952729</v>
      </c>
      <c r="P36" s="29">
        <f t="shared" si="21"/>
        <v>2.1118038929491276</v>
      </c>
      <c r="Q36" s="96"/>
      <c r="R36" s="30">
        <f t="shared" si="27"/>
        <v>2.3946156161933034</v>
      </c>
      <c r="S36" s="96"/>
      <c r="T36" s="49">
        <f t="shared" si="22"/>
        <v>4.5064195091424306</v>
      </c>
      <c r="U36" s="50">
        <f t="shared" si="23"/>
        <v>-0.28281172324417581</v>
      </c>
      <c r="W36" s="81">
        <f>+I36*$Z$2</f>
        <v>41966655.568652369</v>
      </c>
      <c r="X36" s="82">
        <f t="shared" si="33"/>
        <v>47697871.86368043</v>
      </c>
      <c r="Y36" s="83">
        <f t="shared" si="33"/>
        <v>54211777.171576381</v>
      </c>
    </row>
    <row r="37" spans="2:29" x14ac:dyDescent="0.25">
      <c r="B37" s="36"/>
      <c r="C37" s="42" t="s">
        <v>73</v>
      </c>
      <c r="D37" s="43">
        <v>147099</v>
      </c>
      <c r="E37" s="43">
        <v>201299</v>
      </c>
      <c r="F37" s="43">
        <v>208644</v>
      </c>
      <c r="G37" s="43">
        <v>58248</v>
      </c>
      <c r="H37" s="43">
        <v>633597</v>
      </c>
      <c r="I37" s="44">
        <f>197901*3</f>
        <v>593703</v>
      </c>
      <c r="K37" s="45">
        <f t="shared" si="26"/>
        <v>0.36845933690915644</v>
      </c>
      <c r="L37" s="46">
        <f t="shared" si="20"/>
        <v>3.6488010372629769E-2</v>
      </c>
      <c r="M37" s="148">
        <f t="shared" si="20"/>
        <v>-0.72082590441134176</v>
      </c>
      <c r="N37" s="47"/>
      <c r="O37" s="47"/>
      <c r="P37" s="146">
        <f t="shared" si="21"/>
        <v>-0.10529285237651852</v>
      </c>
      <c r="Q37" s="96"/>
      <c r="R37" s="30">
        <f t="shared" si="27"/>
        <v>0.55831169074369524</v>
      </c>
      <c r="S37" s="96"/>
      <c r="T37" s="49">
        <f t="shared" si="22"/>
        <v>0.45301883836717671</v>
      </c>
      <c r="U37" s="50">
        <f t="shared" si="23"/>
        <v>-0.66360454312021377</v>
      </c>
      <c r="W37" s="81">
        <f>+I37*$Z$2</f>
        <v>674782.61575448245</v>
      </c>
      <c r="X37" s="82">
        <f t="shared" si="33"/>
        <v>766934.94647064526</v>
      </c>
      <c r="Y37" s="83">
        <f t="shared" si="33"/>
        <v>871672.14801506139</v>
      </c>
    </row>
    <row r="38" spans="2:29" hidden="1" x14ac:dyDescent="0.25">
      <c r="B38" s="36"/>
      <c r="C38" s="42" t="s">
        <v>44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4">
        <v>57629988</v>
      </c>
      <c r="K38" s="45">
        <v>0</v>
      </c>
      <c r="L38" s="46">
        <v>0</v>
      </c>
      <c r="M38" s="46">
        <v>0</v>
      </c>
      <c r="N38" s="46">
        <v>0</v>
      </c>
      <c r="O38" s="46">
        <v>0</v>
      </c>
      <c r="P38" s="29">
        <f t="shared" si="21"/>
        <v>0</v>
      </c>
      <c r="Q38" s="96"/>
      <c r="R38" s="30">
        <f t="shared" si="27"/>
        <v>0</v>
      </c>
      <c r="S38" s="96"/>
      <c r="T38" s="49">
        <f t="shared" si="22"/>
        <v>0</v>
      </c>
      <c r="U38" s="129">
        <f t="shared" si="23"/>
        <v>0</v>
      </c>
      <c r="W38" s="81">
        <f>+I38*$Z$2</f>
        <v>65500282.209352881</v>
      </c>
      <c r="X38" s="82">
        <f t="shared" si="33"/>
        <v>74445390.644621849</v>
      </c>
      <c r="Y38" s="83">
        <f t="shared" si="33"/>
        <v>84612096.334433556</v>
      </c>
    </row>
    <row r="39" spans="2:29" s="1" customFormat="1" x14ac:dyDescent="0.25">
      <c r="B39" s="36" t="s">
        <v>45</v>
      </c>
      <c r="C39" s="52" t="s">
        <v>46</v>
      </c>
      <c r="D39" s="40">
        <v>15000330</v>
      </c>
      <c r="E39" s="40">
        <v>13513571</v>
      </c>
      <c r="F39" s="40">
        <v>12562238</v>
      </c>
      <c r="G39" s="40">
        <v>14409584</v>
      </c>
      <c r="H39" s="40">
        <v>33915343</v>
      </c>
      <c r="I39" s="41">
        <f>+'[1]DINAMICA REMUNERACIONES'!F11</f>
        <v>40208375</v>
      </c>
      <c r="J39" s="25"/>
      <c r="K39" s="26">
        <f t="shared" si="26"/>
        <v>-9.9115086134771699E-2</v>
      </c>
      <c r="L39" s="27">
        <f t="shared" si="20"/>
        <v>-7.0398342525450894E-2</v>
      </c>
      <c r="M39" s="27">
        <f t="shared" si="20"/>
        <v>0.14705548485866929</v>
      </c>
      <c r="N39" s="27">
        <f t="shared" si="20"/>
        <v>1.3536656575234927</v>
      </c>
      <c r="O39" s="27">
        <f t="shared" si="20"/>
        <v>0.18555118254295702</v>
      </c>
      <c r="P39" s="29">
        <f t="shared" si="21"/>
        <v>0.30335177925297929</v>
      </c>
      <c r="Q39" s="128"/>
      <c r="R39" s="30">
        <f t="shared" si="27"/>
        <v>0.60065245491438535</v>
      </c>
      <c r="S39" s="128"/>
      <c r="T39" s="49">
        <f t="shared" si="22"/>
        <v>0.90400423416736464</v>
      </c>
      <c r="U39" s="38">
        <f t="shared" si="23"/>
        <v>-0.29730067566140606</v>
      </c>
      <c r="W39" s="77">
        <f>+G39*$Z$2</f>
        <v>16377442.56548129</v>
      </c>
      <c r="X39" s="86">
        <f t="shared" si="33"/>
        <v>18614043.610532988</v>
      </c>
      <c r="Y39" s="87">
        <f t="shared" si="33"/>
        <v>21156088.20788081</v>
      </c>
    </row>
    <row r="40" spans="2:29" s="1" customFormat="1" hidden="1" x14ac:dyDescent="0.25">
      <c r="B40" s="36" t="s">
        <v>47</v>
      </c>
      <c r="C40" s="52" t="s">
        <v>48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88">
        <v>0</v>
      </c>
      <c r="J40" s="25"/>
      <c r="K40" s="26">
        <v>0</v>
      </c>
      <c r="L40" s="27">
        <v>0</v>
      </c>
      <c r="M40" s="27">
        <v>0</v>
      </c>
      <c r="N40" s="27">
        <v>0</v>
      </c>
      <c r="O40" s="27">
        <v>0</v>
      </c>
      <c r="P40" s="29">
        <f t="shared" si="21"/>
        <v>0</v>
      </c>
      <c r="Q40" s="128"/>
      <c r="R40" s="30">
        <f t="shared" si="27"/>
        <v>0</v>
      </c>
      <c r="S40" s="128"/>
      <c r="T40" s="49">
        <f t="shared" si="22"/>
        <v>0</v>
      </c>
      <c r="U40" s="129">
        <f t="shared" si="23"/>
        <v>0</v>
      </c>
      <c r="W40" s="77">
        <f>+I40*$Z$2</f>
        <v>0</v>
      </c>
      <c r="X40" s="86">
        <f t="shared" si="33"/>
        <v>0</v>
      </c>
      <c r="Y40" s="87">
        <f t="shared" si="33"/>
        <v>0</v>
      </c>
    </row>
    <row r="41" spans="2:29" s="1" customFormat="1" ht="15.75" thickBot="1" x14ac:dyDescent="0.3">
      <c r="B41" s="55" t="s">
        <v>49</v>
      </c>
      <c r="C41" s="172" t="s">
        <v>74</v>
      </c>
      <c r="D41" s="173">
        <v>70841116</v>
      </c>
      <c r="E41" s="173">
        <v>81893601</v>
      </c>
      <c r="F41" s="173">
        <v>84354759</v>
      </c>
      <c r="G41" s="173">
        <v>76600000</v>
      </c>
      <c r="H41" s="173">
        <v>103500000</v>
      </c>
      <c r="I41" s="174">
        <v>74970000</v>
      </c>
      <c r="J41" s="25"/>
      <c r="K41" s="164">
        <f t="shared" si="26"/>
        <v>0.15601794020297477</v>
      </c>
      <c r="L41" s="165">
        <f t="shared" si="20"/>
        <v>3.0053117336969956E-2</v>
      </c>
      <c r="M41" s="166">
        <f t="shared" si="20"/>
        <v>-9.1930308282903161E-2</v>
      </c>
      <c r="N41" s="165">
        <f t="shared" si="20"/>
        <v>0.35117493472584854</v>
      </c>
      <c r="O41" s="167"/>
      <c r="P41" s="168">
        <f t="shared" si="21"/>
        <v>0.11132892099572253</v>
      </c>
      <c r="Q41" s="175"/>
      <c r="R41" s="62">
        <f t="shared" si="27"/>
        <v>0.18924700727466823</v>
      </c>
      <c r="S41" s="175"/>
      <c r="T41" s="134">
        <f t="shared" si="22"/>
        <v>0.30057592827039076</v>
      </c>
      <c r="U41" s="159">
        <f t="shared" si="23"/>
        <v>-7.7918086278945697E-2</v>
      </c>
      <c r="W41" s="77">
        <f>+I41*$Z$2</f>
        <v>85208349.466170043</v>
      </c>
      <c r="X41" s="86">
        <f t="shared" si="33"/>
        <v>96844908.880204886</v>
      </c>
      <c r="Y41" s="87">
        <f t="shared" si="33"/>
        <v>110070626.11556479</v>
      </c>
    </row>
    <row r="42" spans="2:29" s="1" customFormat="1" hidden="1" x14ac:dyDescent="0.25">
      <c r="B42" s="22" t="s">
        <v>50</v>
      </c>
      <c r="C42" s="169" t="s">
        <v>51</v>
      </c>
      <c r="D42" s="170">
        <f t="shared" ref="D42:I42" si="34">+D43</f>
        <v>0</v>
      </c>
      <c r="E42" s="170">
        <f t="shared" si="34"/>
        <v>0</v>
      </c>
      <c r="F42" s="170">
        <f t="shared" si="34"/>
        <v>0</v>
      </c>
      <c r="G42" s="170">
        <f t="shared" si="34"/>
        <v>0</v>
      </c>
      <c r="H42" s="170">
        <f t="shared" si="34"/>
        <v>0</v>
      </c>
      <c r="I42" s="171">
        <f t="shared" si="34"/>
        <v>0</v>
      </c>
      <c r="J42" s="25"/>
      <c r="K42" s="161">
        <v>0</v>
      </c>
      <c r="L42" s="162">
        <v>0</v>
      </c>
      <c r="M42" s="162">
        <v>0</v>
      </c>
      <c r="N42" s="162">
        <v>0</v>
      </c>
      <c r="O42" s="162">
        <v>0</v>
      </c>
      <c r="P42" s="163">
        <f t="shared" si="21"/>
        <v>0</v>
      </c>
      <c r="Q42" s="128"/>
      <c r="R42" s="160">
        <f t="shared" si="27"/>
        <v>0</v>
      </c>
      <c r="S42" s="128"/>
      <c r="T42" s="31">
        <f t="shared" si="22"/>
        <v>0</v>
      </c>
      <c r="U42" s="129">
        <f t="shared" si="23"/>
        <v>0</v>
      </c>
      <c r="W42" s="77">
        <f>+W43</f>
        <v>0</v>
      </c>
      <c r="X42" s="86">
        <f t="shared" si="33"/>
        <v>0</v>
      </c>
      <c r="Y42" s="87">
        <f t="shared" si="33"/>
        <v>0</v>
      </c>
    </row>
    <row r="43" spans="2:29" ht="15.75" hidden="1" thickBot="1" x14ac:dyDescent="0.3">
      <c r="B43" s="55" t="s">
        <v>52</v>
      </c>
      <c r="C43" s="89" t="s">
        <v>75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90">
        <v>0</v>
      </c>
      <c r="K43" s="59">
        <v>0</v>
      </c>
      <c r="L43" s="60">
        <v>0</v>
      </c>
      <c r="M43" s="60">
        <v>0</v>
      </c>
      <c r="N43" s="60">
        <v>0</v>
      </c>
      <c r="O43" s="60">
        <v>0</v>
      </c>
      <c r="P43" s="91">
        <f t="shared" si="21"/>
        <v>0</v>
      </c>
      <c r="Q43" s="133"/>
      <c r="R43" s="62">
        <f t="shared" si="27"/>
        <v>0</v>
      </c>
      <c r="S43" s="133"/>
      <c r="T43" s="134">
        <f t="shared" si="22"/>
        <v>0</v>
      </c>
      <c r="U43" s="135">
        <f t="shared" si="23"/>
        <v>0</v>
      </c>
      <c r="W43" s="92">
        <f>+I43*$Z$2</f>
        <v>0</v>
      </c>
      <c r="X43" s="93">
        <f t="shared" si="33"/>
        <v>0</v>
      </c>
      <c r="Y43" s="94">
        <f t="shared" si="33"/>
        <v>0</v>
      </c>
    </row>
    <row r="44" spans="2:29" ht="15.75" thickBot="1" x14ac:dyDescent="0.3">
      <c r="B44" s="5"/>
      <c r="C44" s="95"/>
      <c r="D44" s="6"/>
      <c r="E44" s="64"/>
      <c r="F44" s="64"/>
      <c r="G44" s="64"/>
      <c r="H44" s="64"/>
      <c r="I44" s="64"/>
      <c r="AA44" s="96"/>
    </row>
    <row r="45" spans="2:29" x14ac:dyDescent="0.25">
      <c r="B45" s="5"/>
      <c r="C45" s="95"/>
      <c r="D45" s="6"/>
      <c r="E45" s="6"/>
      <c r="F45" s="6"/>
      <c r="G45" s="6"/>
      <c r="H45" s="6"/>
      <c r="I45" s="6"/>
      <c r="V45" s="97" t="s">
        <v>53</v>
      </c>
      <c r="W45" s="98">
        <f>+W8+W29</f>
        <v>420178746.19034159</v>
      </c>
      <c r="X45" s="98">
        <f t="shared" ref="X45:Y45" si="35">+X8+X29</f>
        <v>602094698.06433809</v>
      </c>
      <c r="Y45" s="99">
        <f t="shared" si="35"/>
        <v>538615739.92548847</v>
      </c>
      <c r="Z45" s="100"/>
      <c r="AA45" s="99">
        <f>SUM(W45:Y45)</f>
        <v>1560889184.1801682</v>
      </c>
    </row>
    <row r="46" spans="2:29" ht="18.75" x14ac:dyDescent="0.3">
      <c r="B46" s="5"/>
      <c r="C46" s="101" t="s">
        <v>76</v>
      </c>
      <c r="D46" s="102"/>
      <c r="E46" s="64"/>
      <c r="F46" s="64"/>
      <c r="G46" s="64"/>
      <c r="H46" s="64"/>
      <c r="I46" s="64"/>
      <c r="V46" s="103" t="s">
        <v>54</v>
      </c>
      <c r="W46" s="104">
        <f>+'[1]DINAMICA BRA+BRNA 2025'!J10</f>
        <v>7878</v>
      </c>
      <c r="X46" s="104">
        <f>+W46*$Z$3</f>
        <v>8014.8856320759978</v>
      </c>
      <c r="Y46" s="105">
        <f>+X46*$Z$3</f>
        <v>8154.1497455265635</v>
      </c>
      <c r="Z46" s="106"/>
      <c r="AA46" s="105">
        <f>SUM(W46:Y46)</f>
        <v>24047.035377602562</v>
      </c>
    </row>
    <row r="47" spans="2:29" ht="15.75" x14ac:dyDescent="0.25">
      <c r="B47" s="5"/>
      <c r="C47" s="95"/>
      <c r="D47" s="6"/>
      <c r="E47" s="64"/>
      <c r="F47" s="64"/>
      <c r="G47" s="64"/>
      <c r="H47" s="64"/>
      <c r="I47" s="64"/>
      <c r="V47" s="107" t="s">
        <v>55</v>
      </c>
      <c r="W47" s="108">
        <f>+W45/W46</f>
        <v>53335.712895448283</v>
      </c>
      <c r="X47" s="108">
        <f t="shared" ref="X47:Y47" si="36">+X45/X46</f>
        <v>75122.057344739034</v>
      </c>
      <c r="Y47" s="109">
        <f t="shared" si="36"/>
        <v>66054.187957607443</v>
      </c>
      <c r="Z47" s="110"/>
      <c r="AA47" s="109">
        <f>+AA45/AA46</f>
        <v>64909.838558892887</v>
      </c>
      <c r="AC47" s="111"/>
    </row>
    <row r="48" spans="2:29" x14ac:dyDescent="0.25">
      <c r="B48" s="5"/>
      <c r="C48" s="95"/>
      <c r="D48" s="64"/>
      <c r="E48" s="64"/>
      <c r="F48" s="64"/>
      <c r="G48" s="64"/>
      <c r="H48" s="64"/>
      <c r="I48" s="64"/>
      <c r="V48" s="103" t="s">
        <v>56</v>
      </c>
      <c r="W48" s="112">
        <f>+W47/$H$4</f>
        <v>0.77539743978263109</v>
      </c>
      <c r="X48" s="112">
        <f>+X47/$H$4</f>
        <v>1.0921284777893296</v>
      </c>
      <c r="Y48" s="112">
        <f>+Y47/$H$4</f>
        <v>0.96029930882616044</v>
      </c>
      <c r="Z48" s="113"/>
      <c r="AA48" s="112">
        <f>+AA47/$H$4</f>
        <v>0.94366269621127985</v>
      </c>
      <c r="AC48" s="111"/>
    </row>
    <row r="49" spans="2:27" x14ac:dyDescent="0.25">
      <c r="B49" s="5"/>
      <c r="C49" s="95"/>
      <c r="D49" s="64"/>
      <c r="E49" s="64"/>
      <c r="F49" s="64"/>
      <c r="G49" s="64"/>
      <c r="H49" s="64"/>
      <c r="I49" s="64"/>
      <c r="V49" s="103" t="s">
        <v>57</v>
      </c>
      <c r="W49" s="114">
        <v>4</v>
      </c>
      <c r="X49" s="114">
        <v>4</v>
      </c>
      <c r="Y49" s="115">
        <v>4</v>
      </c>
      <c r="Z49" s="116"/>
      <c r="AA49" s="115">
        <v>4</v>
      </c>
    </row>
    <row r="50" spans="2:27" ht="20.25" x14ac:dyDescent="0.3">
      <c r="B50" s="5"/>
      <c r="C50" s="117"/>
      <c r="D50" s="102"/>
      <c r="E50" s="64"/>
      <c r="F50" s="64"/>
      <c r="G50" s="64"/>
      <c r="H50" s="64"/>
      <c r="I50" s="64"/>
      <c r="V50" s="107" t="s">
        <v>58</v>
      </c>
      <c r="W50" s="118">
        <f>+W47/W49</f>
        <v>13333.928223862071</v>
      </c>
      <c r="X50" s="118">
        <f t="shared" ref="X50:Y50" si="37">+X47/X49</f>
        <v>18780.514336184759</v>
      </c>
      <c r="Y50" s="119">
        <f t="shared" si="37"/>
        <v>16513.546989401861</v>
      </c>
      <c r="Z50" s="113"/>
      <c r="AA50" s="119">
        <f>+AA47/AA49</f>
        <v>16227.459639723222</v>
      </c>
    </row>
    <row r="51" spans="2:27" ht="15.75" thickBot="1" x14ac:dyDescent="0.3">
      <c r="D51" s="64"/>
      <c r="E51" s="64"/>
      <c r="F51" s="64"/>
      <c r="G51" s="64"/>
      <c r="H51" s="64"/>
      <c r="I51" s="64"/>
      <c r="V51" s="120" t="s">
        <v>59</v>
      </c>
      <c r="W51" s="121">
        <f>+W50/$H$4</f>
        <v>0.19384935994565777</v>
      </c>
      <c r="X51" s="121">
        <f>+X50/$H$4</f>
        <v>0.27303211944733241</v>
      </c>
      <c r="Y51" s="121">
        <f>+Y50/$H$4</f>
        <v>0.24007482720654011</v>
      </c>
      <c r="Z51" s="122"/>
      <c r="AA51" s="121">
        <f>+AA50/$H$4</f>
        <v>0.23591567405281996</v>
      </c>
    </row>
    <row r="52" spans="2:27" x14ac:dyDescent="0.25">
      <c r="D52" s="64"/>
      <c r="E52" s="64"/>
      <c r="F52" s="64"/>
      <c r="G52" s="64"/>
      <c r="H52" s="64"/>
      <c r="I52" s="64"/>
      <c r="AA52" s="123"/>
    </row>
    <row r="53" spans="2:27" x14ac:dyDescent="0.25">
      <c r="D53" s="80"/>
      <c r="E53" s="80"/>
      <c r="F53" s="80"/>
      <c r="G53" s="80"/>
      <c r="H53" s="80"/>
      <c r="I53" s="80"/>
      <c r="AA53" s="96"/>
    </row>
    <row r="54" spans="2:27" x14ac:dyDescent="0.25">
      <c r="D54" s="80"/>
      <c r="E54" s="80"/>
      <c r="F54" s="80"/>
      <c r="G54" s="80"/>
      <c r="H54" s="80"/>
      <c r="I54" s="80"/>
      <c r="AA54" s="96"/>
    </row>
    <row r="55" spans="2:27" x14ac:dyDescent="0.25">
      <c r="D55" s="80"/>
      <c r="E55" s="80"/>
      <c r="F55" s="80"/>
      <c r="G55" s="80"/>
      <c r="H55" s="80"/>
      <c r="I55" s="80"/>
    </row>
    <row r="56" spans="2:27" x14ac:dyDescent="0.25">
      <c r="D56" s="80"/>
    </row>
  </sheetData>
  <sheetProtection algorithmName="SHA-512" hashValue="sgZf1aGfQP7e/4oJ4Qv6Q2EqoWdrNNQlha6s+a4IybWe66YdrlIR9V6uLRY2xmguIxN5f23b7cjTR2rrmvbqZw==" saltValue="/sagpB8/Qls2nF5DrAof7w==" spinCount="100000" sheet="1" objects="1" scenarios="1" selectLockedCells="1" selectUnlockedCells="1"/>
  <mergeCells count="7">
    <mergeCell ref="W1:Y1"/>
    <mergeCell ref="W2:Y2"/>
    <mergeCell ref="W3:Y3"/>
    <mergeCell ref="B5:I5"/>
    <mergeCell ref="K5:U5"/>
    <mergeCell ref="W5:Y5"/>
    <mergeCell ref="D2:U2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Bitacora de Calculo 2026-2028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2025-09-27T12:26:48Z</dcterms:modified>
</cp:coreProperties>
</file>